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evgenija\Nextcloud\Domes lēmumi un protokoli\2023\06_JŪNIJS\28.06.2023\Dokumentu PROJEKTI\"/>
    </mc:Choice>
  </mc:AlternateContent>
  <xr:revisionPtr revIDLastSave="0" documentId="8_{7D6F89C2-E8EC-4B63-B72C-16C6F37883BA}" xr6:coauthVersionLast="47" xr6:coauthVersionMax="47" xr10:uidLastSave="{00000000-0000-0000-0000-000000000000}"/>
  <bookViews>
    <workbookView xWindow="-120" yWindow="-120" windowWidth="29040" windowHeight="15840" xr2:uid="{355119E4-CC97-4522-BC47-505E66A92748}"/>
  </bookViews>
  <sheets>
    <sheet name="2023.gada budzeta plans_apvieno" sheetId="1" r:id="rId1"/>
    <sheet name="4.piel_Saistibas" sheetId="2" r:id="rId2"/>
  </sheets>
  <externalReferences>
    <externalReference r:id="rId3"/>
    <externalReference r:id="rId4"/>
    <externalReference r:id="rId5"/>
    <externalReference r:id="rId6"/>
  </externalReferences>
  <definedNames>
    <definedName name="_0812">[1]Groz_NIN_12_2014!#REF!</definedName>
    <definedName name="_xlnm._FilterDatabase" localSheetId="0" hidden="1">'2023.gada budzeta plans_apvieno'!#REF!</definedName>
    <definedName name="Apmaksa" localSheetId="0">[2]Apmaksa!$A:$A</definedName>
    <definedName name="Apmaksa" localSheetId="1">[3]Apmaksa!$A$1:$A$65536</definedName>
    <definedName name="Apmaksa">[3]Apmaksa!$A$1:$A$65536</definedName>
    <definedName name="Darijums" localSheetId="0">[2]Darijums!$A:$A</definedName>
    <definedName name="Darijums" localSheetId="1">[3]Darijums!$A$1:$A$65536</definedName>
    <definedName name="Darijums">[3]Darijums!$A$1:$A$65536</definedName>
    <definedName name="Excel_BuiltIn__FilterDatabase" localSheetId="0">[1]Groz_NIN_12_2014!#REF!</definedName>
    <definedName name="Excel_BuiltIn__FilterDatabase" localSheetId="1">[1]Groz_NIN_12_2014!#REF!</definedName>
    <definedName name="Excel_BuiltIn__FilterDatabase">[1]Groz_NIN_12_2014!#REF!</definedName>
    <definedName name="Firmas" localSheetId="0">[2]Firma!$A:$A</definedName>
    <definedName name="Firmas" localSheetId="1">[3]Firma!$A$1:$A$65536</definedName>
    <definedName name="Firmas">[3]Firma!$A$1:$A$65536</definedName>
    <definedName name="KolonnasNosaukums1">[4]!Piedāvājums[[#Headers],[Apraksts]]</definedName>
    <definedName name="Parvadataji" localSheetId="0">[2]Ligumi!$A:$A</definedName>
    <definedName name="Parvadataji" localSheetId="1">[3]Ligumi!$A$1:$A$65536</definedName>
    <definedName name="Parvadataji">[3]Ligumi!$A$1:$A$65536</definedName>
    <definedName name="_xlnm.Print_Area" localSheetId="0">'2023.gada budzeta plans_apvieno'!$C$1:$K$278</definedName>
    <definedName name="_xlnm.Print_Area" localSheetId="1">'4.piel_Saistibas'!$A$1:$AF$211</definedName>
    <definedName name="_xlnm.Print_Titles" localSheetId="0">'2023.gada budzeta plans_apvieno'!$5:$5</definedName>
    <definedName name="_xlnm.Print_Titles" localSheetId="1">'4.piel_Saistibas'!$9:$9</definedName>
    <definedName name="Saist_apmers_ar_galvojumu">[3]Ligumi!$A$1:$A$65536</definedName>
    <definedName name="Z_1893421C_DBAA_4C10_AA6C_4D0F39122205_.wvu.FilterData" localSheetId="0">[1]Groz_NIN_12_2014!#REF!</definedName>
    <definedName name="Z_1893421C_DBAA_4C10_AA6C_4D0F39122205_.wvu.FilterData" localSheetId="1">[1]Groz_NIN_12_2014!#REF!</definedName>
    <definedName name="Z_1893421C_DBAA_4C10_AA6C_4D0F39122205_.wvu.FilterData">[1]Groz_NIN_12_2014!#REF!</definedName>
    <definedName name="Z_483F8D4B_D649_4D59_A67B_5E8B6C0D2E28_.wvu.FilterData" localSheetId="0">[1]Groz_NIN_12_2014!#REF!</definedName>
    <definedName name="Z_483F8D4B_D649_4D59_A67B_5E8B6C0D2E28_.wvu.FilterData" localSheetId="1">[1]Groz_NIN_12_2014!#REF!</definedName>
    <definedName name="Z_483F8D4B_D649_4D59_A67B_5E8B6C0D2E28_.wvu.FilterData">[1]Groz_NIN_12_2014!#REF!</definedName>
    <definedName name="Z_56A06D27_97E5_4D01_ADCE_F8E0A2A870EF_.wvu.FilterData" localSheetId="0">[1]Groz_NIN_12_2014!#REF!</definedName>
    <definedName name="Z_56A06D27_97E5_4D01_ADCE_F8E0A2A870EF_.wvu.FilterData" localSheetId="1">[1]Groz_NIN_12_2014!#REF!</definedName>
    <definedName name="Z_56A06D27_97E5_4D01_ADCE_F8E0A2A870EF_.wvu.FilterData">[1]Groz_NIN_12_2014!#REF!</definedName>
    <definedName name="Z_81EB1DB6_89AB_4045_90FA_EF2BA7E792F9_.wvu.FilterData" localSheetId="0">[1]Groz_NIN_12_2014!#REF!</definedName>
    <definedName name="Z_81EB1DB6_89AB_4045_90FA_EF2BA7E792F9_.wvu.FilterData" localSheetId="1">[1]Groz_NIN_12_2014!#REF!</definedName>
    <definedName name="Z_81EB1DB6_89AB_4045_90FA_EF2BA7E792F9_.wvu.FilterData">[1]Groz_NIN_12_2014!#REF!</definedName>
    <definedName name="Z_81EB1DB6_89AB_4045_90FA_EF2BA7E792F9_.wvu.PrintArea" localSheetId="0">[1]Groz_NIN_12_2014!#REF!</definedName>
    <definedName name="Z_81EB1DB6_89AB_4045_90FA_EF2BA7E792F9_.wvu.PrintArea" localSheetId="1">[1]Groz_NIN_12_2014!#REF!</definedName>
    <definedName name="Z_81EB1DB6_89AB_4045_90FA_EF2BA7E792F9_.wvu.PrintArea">[1]Groz_NIN_12_2014!#REF!</definedName>
    <definedName name="Z_8545B4E6_A517_4BD7_BFB7_42FEB5F229AD_.wvu.FilterData" localSheetId="0">[1]Groz_NIN_12_2014!#REF!</definedName>
    <definedName name="Z_8545B4E6_A517_4BD7_BFB7_42FEB5F229AD_.wvu.FilterData" localSheetId="1">[1]Groz_NIN_12_2014!#REF!</definedName>
    <definedName name="Z_8545B4E6_A517_4BD7_BFB7_42FEB5F229AD_.wvu.FilterData">[1]Groz_NIN_12_2014!#REF!</definedName>
    <definedName name="Z_877A1030_2452_46B0_88DF_8A068656C08E_.wvu.FilterData" localSheetId="0">[1]Groz_NIN_12_2014!#REF!</definedName>
    <definedName name="Z_877A1030_2452_46B0_88DF_8A068656C08E_.wvu.FilterData" localSheetId="1">[1]Groz_NIN_12_2014!#REF!</definedName>
    <definedName name="Z_877A1030_2452_46B0_88DF_8A068656C08E_.wvu.FilterData">[1]Groz_NIN_12_2014!#REF!</definedName>
    <definedName name="Z_ABD8A783_3A6C_4629_9559_1E4E89E80131_.wvu.FilterData" localSheetId="0">[1]Groz_NIN_12_2014!#REF!</definedName>
    <definedName name="Z_ABD8A783_3A6C_4629_9559_1E4E89E80131_.wvu.FilterData" localSheetId="1">[1]Groz_NIN_12_2014!#REF!</definedName>
    <definedName name="Z_ABD8A783_3A6C_4629_9559_1E4E89E80131_.wvu.FilterData">[1]Groz_NIN_12_2014!#REF!</definedName>
    <definedName name="Z_AF277C95_CBD9_4696_AC72_D010599E9831_.wvu.FilterData" localSheetId="0">[1]Groz_NIN_12_2014!#REF!</definedName>
    <definedName name="Z_AF277C95_CBD9_4696_AC72_D010599E9831_.wvu.FilterData" localSheetId="1">[1]Groz_NIN_12_2014!#REF!</definedName>
    <definedName name="Z_AF277C95_CBD9_4696_AC72_D010599E9831_.wvu.FilterData">[1]Groz_NIN_12_2014!#REF!</definedName>
    <definedName name="Z_B7CBCF06_FF41_423A_9AB3_E1D1F70C6FC5_.wvu.FilterData" localSheetId="0">[1]Groz_NIN_12_2014!#REF!</definedName>
    <definedName name="Z_B7CBCF06_FF41_423A_9AB3_E1D1F70C6FC5_.wvu.FilterData" localSheetId="1">[1]Groz_NIN_12_2014!#REF!</definedName>
    <definedName name="Z_B7CBCF06_FF41_423A_9AB3_E1D1F70C6FC5_.wvu.FilterData">[1]Groz_NIN_12_2014!#REF!</definedName>
    <definedName name="Z_C5511FB8_86C5_41F3_ADCD_B10310F066F5_.wvu.FilterData" localSheetId="0">[1]Groz_NIN_12_2014!#REF!</definedName>
    <definedName name="Z_C5511FB8_86C5_41F3_ADCD_B10310F066F5_.wvu.FilterData" localSheetId="1">[1]Groz_NIN_12_2014!#REF!</definedName>
    <definedName name="Z_C5511FB8_86C5_41F3_ADCD_B10310F066F5_.wvu.FilterData">[1]Groz_NIN_12_2014!#REF!</definedName>
    <definedName name="Z_DB8ECBD1_2D44_4F97_BCC9_F610BA0A3109_.wvu.FilterData" localSheetId="0">[1]Groz_NIN_12_2014!#REF!</definedName>
    <definedName name="Z_DB8ECBD1_2D44_4F97_BCC9_F610BA0A3109_.wvu.FilterData" localSheetId="1">[1]Groz_NIN_12_2014!#REF!</definedName>
    <definedName name="Z_DB8ECBD1_2D44_4F97_BCC9_F610BA0A3109_.wvu.FilterData">[1]Groz_NIN_12_2014!#REF!</definedName>
    <definedName name="Z_DEE3A27E_689A_4E9F_A3EB_C84F1E3B413E_.wvu.FilterData" localSheetId="0">[1]Groz_NIN_12_2014!#REF!</definedName>
    <definedName name="Z_DEE3A27E_689A_4E9F_A3EB_C84F1E3B413E_.wvu.FilterData" localSheetId="1">[1]Groz_NIN_12_2014!#REF!</definedName>
    <definedName name="Z_DEE3A27E_689A_4E9F_A3EB_C84F1E3B413E_.wvu.FilterData">[1]Groz_NIN_12_2014!#REF!</definedName>
    <definedName name="Z_F1F489B9_0F61_4F1F_A151_75EF77465344_.wvu.Cols" localSheetId="0">[1]Groz_NIN_12_2014!#REF!</definedName>
    <definedName name="Z_F1F489B9_0F61_4F1F_A151_75EF77465344_.wvu.Cols" localSheetId="1">[1]Groz_NIN_12_2014!#REF!</definedName>
    <definedName name="Z_F1F489B9_0F61_4F1F_A151_75EF77465344_.wvu.Cols">[1]Groz_NIN_12_2014!#REF!</definedName>
    <definedName name="Z_F1F489B9_0F61_4F1F_A151_75EF77465344_.wvu.FilterData" localSheetId="0">[1]Groz_NIN_12_2014!#REF!</definedName>
    <definedName name="Z_F1F489B9_0F61_4F1F_A151_75EF77465344_.wvu.FilterData" localSheetId="1">[1]Groz_NIN_12_2014!#REF!</definedName>
    <definedName name="Z_F1F489B9_0F61_4F1F_A151_75EF77465344_.wvu.FilterData">[1]Groz_NIN_12_2014!#REF!</definedName>
    <definedName name="Z_F1F489B9_0F61_4F1F_A151_75EF77465344_.wvu.PrintArea" localSheetId="0">[1]Groz_NIN_12_2014!#REF!</definedName>
    <definedName name="Z_F1F489B9_0F61_4F1F_A151_75EF77465344_.wvu.PrintArea" localSheetId="1">[1]Groz_NIN_12_2014!#REF!</definedName>
    <definedName name="Z_F1F489B9_0F61_4F1F_A151_75EF77465344_.wvu.PrintArea">[1]Groz_NIN_12_2014!#REF!</definedName>
    <definedName name="Z_F1F489B9_0F61_4F1F_A151_75EF77465344_.wvu.PrintTitles" localSheetId="0">[1]Groz_NIN_12_2014!#REF!</definedName>
    <definedName name="Z_F1F489B9_0F61_4F1F_A151_75EF77465344_.wvu.PrintTitles" localSheetId="1">[1]Groz_NIN_12_2014!#REF!</definedName>
    <definedName name="Z_F1F489B9_0F61_4F1F_A151_75EF77465344_.wvu.PrintTitles">[1]Groz_NIN_12_2014!#REF!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08" i="2" l="1"/>
  <c r="W206" i="2"/>
  <c r="V206" i="2"/>
  <c r="I203" i="2"/>
  <c r="X202" i="2" s="1"/>
  <c r="W200" i="2"/>
  <c r="V200" i="2"/>
  <c r="W194" i="2"/>
  <c r="V194" i="2"/>
  <c r="AF193" i="2"/>
  <c r="AC192" i="2"/>
  <c r="AB192" i="2"/>
  <c r="AA192" i="2"/>
  <c r="Z192" i="2"/>
  <c r="Y192" i="2"/>
  <c r="AF192" i="2" s="1"/>
  <c r="AD190" i="2"/>
  <c r="AC190" i="2"/>
  <c r="AB190" i="2"/>
  <c r="AA190" i="2"/>
  <c r="Z190" i="2"/>
  <c r="AF189" i="2"/>
  <c r="Z188" i="2"/>
  <c r="Y188" i="2"/>
  <c r="AF188" i="2" s="1"/>
  <c r="X188" i="2"/>
  <c r="AF187" i="2"/>
  <c r="AF186" i="2"/>
  <c r="AF185" i="2"/>
  <c r="Y184" i="2"/>
  <c r="X184" i="2"/>
  <c r="AF184" i="2" s="1"/>
  <c r="AF182" i="2"/>
  <c r="L182" i="2"/>
  <c r="AE183" i="2" s="1"/>
  <c r="AD174" i="2"/>
  <c r="AC174" i="2"/>
  <c r="AB174" i="2"/>
  <c r="AA174" i="2"/>
  <c r="AI173" i="2"/>
  <c r="V171" i="2"/>
  <c r="AE170" i="2"/>
  <c r="AD170" i="2"/>
  <c r="AC170" i="2"/>
  <c r="AB170" i="2"/>
  <c r="AA170" i="2"/>
  <c r="Z170" i="2"/>
  <c r="Y170" i="2"/>
  <c r="W170" i="2"/>
  <c r="W172" i="2" s="1"/>
  <c r="V170" i="2"/>
  <c r="V172" i="2" s="1"/>
  <c r="R170" i="2"/>
  <c r="Q170" i="2"/>
  <c r="AI169" i="2"/>
  <c r="AD166" i="2"/>
  <c r="AC166" i="2"/>
  <c r="AB166" i="2"/>
  <c r="AA166" i="2"/>
  <c r="Z166" i="2"/>
  <c r="Y166" i="2"/>
  <c r="Y174" i="2" s="1"/>
  <c r="X166" i="2"/>
  <c r="W166" i="2"/>
  <c r="W174" i="2" s="1"/>
  <c r="V166" i="2"/>
  <c r="U166" i="2"/>
  <c r="U174" i="2" s="1"/>
  <c r="R166" i="2"/>
  <c r="Q166" i="2"/>
  <c r="Q175" i="2" s="1"/>
  <c r="AC163" i="2"/>
  <c r="AD162" i="2"/>
  <c r="AC162" i="2"/>
  <c r="AB162" i="2"/>
  <c r="AA162" i="2"/>
  <c r="Z162" i="2"/>
  <c r="Y162" i="2"/>
  <c r="AE162" i="2" s="1"/>
  <c r="M162" i="2"/>
  <c r="AA163" i="2" s="1"/>
  <c r="L162" i="2"/>
  <c r="AD160" i="2"/>
  <c r="AC160" i="2"/>
  <c r="AB160" i="2"/>
  <c r="AA160" i="2"/>
  <c r="Z160" i="2"/>
  <c r="Y160" i="2"/>
  <c r="M160" i="2"/>
  <c r="L160" i="2"/>
  <c r="Z159" i="2"/>
  <c r="Y159" i="2"/>
  <c r="AD158" i="2"/>
  <c r="AC158" i="2"/>
  <c r="AB158" i="2"/>
  <c r="AA158" i="2"/>
  <c r="Z158" i="2"/>
  <c r="Y158" i="2"/>
  <c r="AE158" i="2" s="1"/>
  <c r="M158" i="2"/>
  <c r="AA159" i="2" s="1"/>
  <c r="L158" i="2"/>
  <c r="AD156" i="2"/>
  <c r="AC156" i="2"/>
  <c r="AB156" i="2"/>
  <c r="AA156" i="2"/>
  <c r="Z156" i="2"/>
  <c r="AE156" i="2" s="1"/>
  <c r="AE157" i="2" s="1"/>
  <c r="Y156" i="2"/>
  <c r="M156" i="2"/>
  <c r="L156" i="2"/>
  <c r="AB155" i="2"/>
  <c r="AA155" i="2"/>
  <c r="Y155" i="2"/>
  <c r="AF154" i="2"/>
  <c r="AC154" i="2"/>
  <c r="AB154" i="2"/>
  <c r="AA154" i="2"/>
  <c r="Z154" i="2"/>
  <c r="Y154" i="2"/>
  <c r="M154" i="2"/>
  <c r="L154" i="2"/>
  <c r="Z155" i="2" s="1"/>
  <c r="AD152" i="2"/>
  <c r="AC152" i="2"/>
  <c r="AB152" i="2"/>
  <c r="AA152" i="2"/>
  <c r="Z152" i="2"/>
  <c r="Y152" i="2"/>
  <c r="M152" i="2"/>
  <c r="L152" i="2"/>
  <c r="AD150" i="2"/>
  <c r="AC150" i="2"/>
  <c r="AB150" i="2"/>
  <c r="AA150" i="2"/>
  <c r="Z150" i="2"/>
  <c r="Y150" i="2"/>
  <c r="M150" i="2"/>
  <c r="L150" i="2"/>
  <c r="AD148" i="2"/>
  <c r="AC148" i="2"/>
  <c r="AB148" i="2"/>
  <c r="AA148" i="2"/>
  <c r="Z148" i="2"/>
  <c r="Y148" i="2"/>
  <c r="M148" i="2"/>
  <c r="L148" i="2"/>
  <c r="AA147" i="2"/>
  <c r="Z147" i="2"/>
  <c r="Y146" i="2"/>
  <c r="AF146" i="2" s="1"/>
  <c r="M146" i="2"/>
  <c r="L146" i="2"/>
  <c r="AE147" i="2" s="1"/>
  <c r="AD144" i="2"/>
  <c r="AC144" i="2"/>
  <c r="AB144" i="2"/>
  <c r="AA144" i="2"/>
  <c r="Z144" i="2"/>
  <c r="Y144" i="2"/>
  <c r="M144" i="2"/>
  <c r="L144" i="2"/>
  <c r="AD142" i="2"/>
  <c r="AC142" i="2"/>
  <c r="AB142" i="2"/>
  <c r="AA142" i="2"/>
  <c r="Z142" i="2"/>
  <c r="Y142" i="2"/>
  <c r="M142" i="2"/>
  <c r="L142" i="2"/>
  <c r="AC140" i="2"/>
  <c r="AB140" i="2"/>
  <c r="AF140" i="2" s="1"/>
  <c r="AA140" i="2"/>
  <c r="Z140" i="2"/>
  <c r="Y140" i="2"/>
  <c r="M140" i="2"/>
  <c r="AD141" i="2" s="1"/>
  <c r="L140" i="2"/>
  <c r="AE141" i="2" s="1"/>
  <c r="AE139" i="2"/>
  <c r="AD139" i="2"/>
  <c r="AC139" i="2"/>
  <c r="AB139" i="2"/>
  <c r="AA139" i="2"/>
  <c r="Z139" i="2"/>
  <c r="X138" i="2"/>
  <c r="AF138" i="2" s="1"/>
  <c r="M138" i="2"/>
  <c r="Y139" i="2" s="1"/>
  <c r="L138" i="2"/>
  <c r="AE137" i="2"/>
  <c r="AD137" i="2"/>
  <c r="AC137" i="2"/>
  <c r="AB137" i="2"/>
  <c r="AA137" i="2"/>
  <c r="AF136" i="2"/>
  <c r="M136" i="2"/>
  <c r="Z137" i="2" s="1"/>
  <c r="L136" i="2"/>
  <c r="AE135" i="2"/>
  <c r="AD135" i="2"/>
  <c r="AC135" i="2"/>
  <c r="AB135" i="2"/>
  <c r="AA135" i="2"/>
  <c r="AF134" i="2"/>
  <c r="M134" i="2"/>
  <c r="Z135" i="2" s="1"/>
  <c r="L134" i="2"/>
  <c r="AE133" i="2"/>
  <c r="AD133" i="2"/>
  <c r="AC133" i="2"/>
  <c r="AB133" i="2"/>
  <c r="AA133" i="2"/>
  <c r="AF132" i="2"/>
  <c r="AE132" i="2"/>
  <c r="X132" i="2"/>
  <c r="X170" i="2" s="1"/>
  <c r="M132" i="2"/>
  <c r="L132" i="2"/>
  <c r="AF130" i="2"/>
  <c r="M130" i="2"/>
  <c r="L130" i="2"/>
  <c r="AE131" i="2" s="1"/>
  <c r="W129" i="2"/>
  <c r="W171" i="2" s="1"/>
  <c r="AF128" i="2"/>
  <c r="M128" i="2"/>
  <c r="L128" i="2"/>
  <c r="AE129" i="2" s="1"/>
  <c r="AE127" i="2"/>
  <c r="AD127" i="2"/>
  <c r="AF126" i="2"/>
  <c r="M126" i="2"/>
  <c r="L126" i="2"/>
  <c r="AF124" i="2"/>
  <c r="M124" i="2"/>
  <c r="L124" i="2"/>
  <c r="AD125" i="2" s="1"/>
  <c r="AE123" i="2"/>
  <c r="AD123" i="2"/>
  <c r="AF122" i="2"/>
  <c r="M122" i="2"/>
  <c r="L122" i="2"/>
  <c r="AF120" i="2"/>
  <c r="M120" i="2"/>
  <c r="L120" i="2"/>
  <c r="AD121" i="2" s="1"/>
  <c r="AE119" i="2"/>
  <c r="AD119" i="2"/>
  <c r="AF118" i="2"/>
  <c r="M118" i="2"/>
  <c r="L118" i="2"/>
  <c r="AF116" i="2"/>
  <c r="M116" i="2"/>
  <c r="L116" i="2"/>
  <c r="AE117" i="2" s="1"/>
  <c r="AE115" i="2"/>
  <c r="AD115" i="2"/>
  <c r="AF114" i="2"/>
  <c r="M114" i="2"/>
  <c r="L114" i="2"/>
  <c r="AF112" i="2"/>
  <c r="M112" i="2"/>
  <c r="L112" i="2"/>
  <c r="AD113" i="2" s="1"/>
  <c r="AE111" i="2"/>
  <c r="AD111" i="2"/>
  <c r="AF110" i="2"/>
  <c r="M110" i="2"/>
  <c r="L110" i="2"/>
  <c r="AF108" i="2"/>
  <c r="M108" i="2"/>
  <c r="L108" i="2"/>
  <c r="AD109" i="2" s="1"/>
  <c r="AE107" i="2"/>
  <c r="AD107" i="2"/>
  <c r="AF106" i="2"/>
  <c r="M106" i="2"/>
  <c r="L106" i="2"/>
  <c r="AF104" i="2"/>
  <c r="M104" i="2"/>
  <c r="L104" i="2"/>
  <c r="AD105" i="2" s="1"/>
  <c r="AE103" i="2"/>
  <c r="AD103" i="2"/>
  <c r="AF102" i="2"/>
  <c r="M102" i="2"/>
  <c r="L102" i="2"/>
  <c r="AF100" i="2"/>
  <c r="M100" i="2"/>
  <c r="L100" i="2"/>
  <c r="AE101" i="2" s="1"/>
  <c r="AE99" i="2"/>
  <c r="AD99" i="2"/>
  <c r="AF98" i="2"/>
  <c r="M98" i="2"/>
  <c r="L98" i="2"/>
  <c r="AF96" i="2"/>
  <c r="M96" i="2"/>
  <c r="L96" i="2"/>
  <c r="AD97" i="2" s="1"/>
  <c r="AE95" i="2"/>
  <c r="AD95" i="2"/>
  <c r="AF94" i="2"/>
  <c r="M94" i="2"/>
  <c r="L94" i="2"/>
  <c r="AF92" i="2"/>
  <c r="M92" i="2"/>
  <c r="L92" i="2"/>
  <c r="AD93" i="2" s="1"/>
  <c r="AE91" i="2"/>
  <c r="AD91" i="2"/>
  <c r="AF90" i="2"/>
  <c r="M90" i="2"/>
  <c r="L90" i="2"/>
  <c r="AF88" i="2"/>
  <c r="M88" i="2"/>
  <c r="L88" i="2"/>
  <c r="AE89" i="2" s="1"/>
  <c r="AE87" i="2"/>
  <c r="AD87" i="2"/>
  <c r="AF86" i="2"/>
  <c r="M86" i="2"/>
  <c r="L86" i="2"/>
  <c r="AF84" i="2"/>
  <c r="M84" i="2"/>
  <c r="L84" i="2"/>
  <c r="AD85" i="2" s="1"/>
  <c r="AE83" i="2"/>
  <c r="AD83" i="2"/>
  <c r="AF82" i="2"/>
  <c r="M82" i="2"/>
  <c r="L82" i="2"/>
  <c r="AF80" i="2"/>
  <c r="M80" i="2"/>
  <c r="L80" i="2"/>
  <c r="AE81" i="2" s="1"/>
  <c r="AE79" i="2"/>
  <c r="AD79" i="2"/>
  <c r="AF78" i="2"/>
  <c r="M78" i="2"/>
  <c r="L78" i="2"/>
  <c r="AF76" i="2"/>
  <c r="M76" i="2"/>
  <c r="L76" i="2"/>
  <c r="AD77" i="2" s="1"/>
  <c r="AE75" i="2"/>
  <c r="AD75" i="2"/>
  <c r="AF74" i="2"/>
  <c r="M74" i="2"/>
  <c r="L74" i="2"/>
  <c r="AF72" i="2"/>
  <c r="M72" i="2"/>
  <c r="L72" i="2"/>
  <c r="AE71" i="2"/>
  <c r="AD71" i="2"/>
  <c r="AF70" i="2"/>
  <c r="M70" i="2"/>
  <c r="L70" i="2"/>
  <c r="AE69" i="2"/>
  <c r="AD69" i="2"/>
  <c r="AF68" i="2"/>
  <c r="L68" i="2"/>
  <c r="K68" i="2"/>
  <c r="AE67" i="2"/>
  <c r="AD67" i="2"/>
  <c r="AF66" i="2"/>
  <c r="L66" i="2"/>
  <c r="K66" i="2"/>
  <c r="AF64" i="2"/>
  <c r="L64" i="2"/>
  <c r="AE65" i="2" s="1"/>
  <c r="K64" i="2"/>
  <c r="I64" i="2"/>
  <c r="AA63" i="2"/>
  <c r="AF62" i="2"/>
  <c r="AE62" i="2"/>
  <c r="X63" i="2" s="1"/>
  <c r="X62" i="2"/>
  <c r="L62" i="2"/>
  <c r="AE63" i="2" s="1"/>
  <c r="K62" i="2"/>
  <c r="AD61" i="2"/>
  <c r="AC61" i="2"/>
  <c r="AB61" i="2"/>
  <c r="AA61" i="2"/>
  <c r="Z61" i="2"/>
  <c r="Y61" i="2"/>
  <c r="X61" i="2"/>
  <c r="AF60" i="2"/>
  <c r="L60" i="2"/>
  <c r="W61" i="2" s="1"/>
  <c r="K60" i="2"/>
  <c r="AE59" i="2"/>
  <c r="AD59" i="2"/>
  <c r="AC59" i="2"/>
  <c r="AB59" i="2"/>
  <c r="AA59" i="2"/>
  <c r="Z59" i="2"/>
  <c r="Y59" i="2"/>
  <c r="AF58" i="2"/>
  <c r="L58" i="2"/>
  <c r="X59" i="2" s="1"/>
  <c r="K58" i="2"/>
  <c r="AD57" i="2"/>
  <c r="AC57" i="2"/>
  <c r="AB57" i="2"/>
  <c r="AA57" i="2"/>
  <c r="Z57" i="2"/>
  <c r="AF56" i="2"/>
  <c r="L56" i="2"/>
  <c r="K56" i="2"/>
  <c r="AF54" i="2"/>
  <c r="L54" i="2"/>
  <c r="AE55" i="2" s="1"/>
  <c r="K54" i="2"/>
  <c r="AF52" i="2"/>
  <c r="L52" i="2"/>
  <c r="Y53" i="2" s="1"/>
  <c r="AA51" i="2"/>
  <c r="Z51" i="2"/>
  <c r="AE50" i="2"/>
  <c r="AF50" i="2" s="1"/>
  <c r="L50" i="2"/>
  <c r="Y51" i="2" s="1"/>
  <c r="AA49" i="2"/>
  <c r="Z49" i="2"/>
  <c r="Y49" i="2"/>
  <c r="X49" i="2"/>
  <c r="W49" i="2"/>
  <c r="V49" i="2"/>
  <c r="U49" i="2"/>
  <c r="AE48" i="2"/>
  <c r="AF48" i="2" s="1"/>
  <c r="L48" i="2"/>
  <c r="AE49" i="2" s="1"/>
  <c r="AD47" i="2"/>
  <c r="AC47" i="2"/>
  <c r="AB47" i="2"/>
  <c r="AA47" i="2"/>
  <c r="Z47" i="2"/>
  <c r="Y47" i="2"/>
  <c r="X47" i="2"/>
  <c r="V47" i="2"/>
  <c r="U47" i="2"/>
  <c r="AF46" i="2"/>
  <c r="L46" i="2"/>
  <c r="W47" i="2" s="1"/>
  <c r="AF44" i="2"/>
  <c r="L44" i="2"/>
  <c r="AD45" i="2" s="1"/>
  <c r="K44" i="2"/>
  <c r="AF43" i="2"/>
  <c r="AF42" i="2"/>
  <c r="L42" i="2"/>
  <c r="K42" i="2"/>
  <c r="AA41" i="2"/>
  <c r="Z41" i="2"/>
  <c r="Y41" i="2"/>
  <c r="X41" i="2"/>
  <c r="W41" i="2"/>
  <c r="V41" i="2"/>
  <c r="U41" i="2"/>
  <c r="AF40" i="2"/>
  <c r="L40" i="2"/>
  <c r="AE41" i="2" s="1"/>
  <c r="AC39" i="2"/>
  <c r="AB39" i="2"/>
  <c r="AA39" i="2"/>
  <c r="Z39" i="2"/>
  <c r="Y39" i="2"/>
  <c r="X39" i="2"/>
  <c r="W39" i="2"/>
  <c r="U39" i="2"/>
  <c r="AF38" i="2"/>
  <c r="L38" i="2"/>
  <c r="V39" i="2" s="1"/>
  <c r="K38" i="2"/>
  <c r="AF36" i="2"/>
  <c r="L36" i="2"/>
  <c r="AB37" i="2" s="1"/>
  <c r="K36" i="2"/>
  <c r="I36" i="2"/>
  <c r="AE35" i="2"/>
  <c r="AF34" i="2"/>
  <c r="M34" i="2"/>
  <c r="L34" i="2"/>
  <c r="U35" i="2" s="1"/>
  <c r="K34" i="2"/>
  <c r="I34" i="2"/>
  <c r="E34" i="2"/>
  <c r="AC33" i="2"/>
  <c r="AB33" i="2"/>
  <c r="AA33" i="2"/>
  <c r="Z33" i="2"/>
  <c r="Y33" i="2"/>
  <c r="X33" i="2"/>
  <c r="AF32" i="2"/>
  <c r="M32" i="2"/>
  <c r="L32" i="2"/>
  <c r="AE33" i="2" s="1"/>
  <c r="AC31" i="2"/>
  <c r="AB31" i="2"/>
  <c r="AA31" i="2"/>
  <c r="Z31" i="2"/>
  <c r="Y31" i="2"/>
  <c r="X31" i="2"/>
  <c r="W31" i="2"/>
  <c r="AF30" i="2"/>
  <c r="M30" i="2"/>
  <c r="AE31" i="2" s="1"/>
  <c r="L30" i="2"/>
  <c r="K30" i="2"/>
  <c r="I30" i="2"/>
  <c r="AE29" i="2"/>
  <c r="AD29" i="2"/>
  <c r="AC29" i="2"/>
  <c r="AF28" i="2"/>
  <c r="M28" i="2"/>
  <c r="L28" i="2"/>
  <c r="AB29" i="2" s="1"/>
  <c r="K28" i="2"/>
  <c r="AE27" i="2"/>
  <c r="AD27" i="2"/>
  <c r="AC27" i="2"/>
  <c r="W27" i="2"/>
  <c r="AF26" i="2"/>
  <c r="M26" i="2"/>
  <c r="L26" i="2"/>
  <c r="V27" i="2" s="1"/>
  <c r="Z25" i="2"/>
  <c r="Y25" i="2"/>
  <c r="X25" i="2"/>
  <c r="W25" i="2"/>
  <c r="V25" i="2"/>
  <c r="U25" i="2"/>
  <c r="AF24" i="2"/>
  <c r="M24" i="2"/>
  <c r="L24" i="2"/>
  <c r="AE25" i="2" s="1"/>
  <c r="K24" i="2"/>
  <c r="AD23" i="2"/>
  <c r="AC23" i="2"/>
  <c r="AA23" i="2"/>
  <c r="Z23" i="2"/>
  <c r="Y23" i="2"/>
  <c r="X23" i="2"/>
  <c r="AF22" i="2"/>
  <c r="M22" i="2"/>
  <c r="L22" i="2"/>
  <c r="I22" i="2"/>
  <c r="AB21" i="2"/>
  <c r="AA21" i="2"/>
  <c r="Z21" i="2"/>
  <c r="X21" i="2"/>
  <c r="W21" i="2"/>
  <c r="AF20" i="2"/>
  <c r="M20" i="2"/>
  <c r="L20" i="2"/>
  <c r="Y21" i="2" s="1"/>
  <c r="K20" i="2"/>
  <c r="AC19" i="2"/>
  <c r="AB19" i="2"/>
  <c r="AA19" i="2"/>
  <c r="AF18" i="2"/>
  <c r="M18" i="2"/>
  <c r="L18" i="2"/>
  <c r="X19" i="2" s="1"/>
  <c r="K18" i="2"/>
  <c r="AF16" i="2"/>
  <c r="M16" i="2"/>
  <c r="V17" i="2" s="1"/>
  <c r="L16" i="2"/>
  <c r="AB17" i="2" s="1"/>
  <c r="K16" i="2"/>
  <c r="J16" i="2"/>
  <c r="I16" i="2"/>
  <c r="AC15" i="2"/>
  <c r="AB15" i="2"/>
  <c r="AA15" i="2"/>
  <c r="Z15" i="2"/>
  <c r="Y15" i="2"/>
  <c r="AF14" i="2"/>
  <c r="M14" i="2"/>
  <c r="AE15" i="2" s="1"/>
  <c r="L14" i="2"/>
  <c r="V15" i="2" s="1"/>
  <c r="J14" i="2"/>
  <c r="K14" i="2" s="1"/>
  <c r="I14" i="2"/>
  <c r="AF12" i="2"/>
  <c r="M12" i="2"/>
  <c r="W13" i="2" s="1"/>
  <c r="L12" i="2"/>
  <c r="AB13" i="2" s="1"/>
  <c r="H12" i="2"/>
  <c r="J12" i="2" s="1"/>
  <c r="K12" i="2" s="1"/>
  <c r="AD11" i="2"/>
  <c r="AC11" i="2"/>
  <c r="AB11" i="2"/>
  <c r="AA11" i="2"/>
  <c r="Z11" i="2"/>
  <c r="AF10" i="2"/>
  <c r="M10" i="2"/>
  <c r="L10" i="2"/>
  <c r="W11" i="2" s="1"/>
  <c r="H10" i="2"/>
  <c r="J10" i="2" s="1"/>
  <c r="K10" i="2" s="1"/>
  <c r="F276" i="1"/>
  <c r="G276" i="1" s="1"/>
  <c r="M274" i="1"/>
  <c r="J274" i="1"/>
  <c r="G274" i="1"/>
  <c r="M273" i="1"/>
  <c r="J273" i="1"/>
  <c r="G273" i="1"/>
  <c r="L272" i="1"/>
  <c r="I272" i="1"/>
  <c r="F272" i="1"/>
  <c r="G272" i="1" s="1"/>
  <c r="F271" i="1"/>
  <c r="F270" i="1"/>
  <c r="G270" i="1" s="1"/>
  <c r="F268" i="1"/>
  <c r="G268" i="1" s="1"/>
  <c r="F267" i="1"/>
  <c r="F266" i="1"/>
  <c r="I266" i="1" s="1"/>
  <c r="F265" i="1"/>
  <c r="F264" i="1"/>
  <c r="F263" i="1"/>
  <c r="F262" i="1"/>
  <c r="G262" i="1" s="1"/>
  <c r="F260" i="1"/>
  <c r="I260" i="1" s="1"/>
  <c r="F259" i="1"/>
  <c r="F258" i="1" s="1"/>
  <c r="F257" i="1"/>
  <c r="I257" i="1" s="1"/>
  <c r="L257" i="1" s="1"/>
  <c r="M257" i="1" s="1"/>
  <c r="F256" i="1"/>
  <c r="F254" i="1"/>
  <c r="G254" i="1" s="1"/>
  <c r="F253" i="1"/>
  <c r="I253" i="1" s="1"/>
  <c r="J253" i="1" s="1"/>
  <c r="F252" i="1"/>
  <c r="I252" i="1" s="1"/>
  <c r="J252" i="1" s="1"/>
  <c r="F251" i="1"/>
  <c r="G251" i="1" s="1"/>
  <c r="F250" i="1"/>
  <c r="G250" i="1" s="1"/>
  <c r="F249" i="1"/>
  <c r="F248" i="1"/>
  <c r="I248" i="1" s="1"/>
  <c r="L248" i="1" s="1"/>
  <c r="F246" i="1"/>
  <c r="F245" i="1"/>
  <c r="G245" i="1" s="1"/>
  <c r="F244" i="1"/>
  <c r="G244" i="1" s="1"/>
  <c r="F243" i="1"/>
  <c r="G243" i="1" s="1"/>
  <c r="F242" i="1"/>
  <c r="I242" i="1" s="1"/>
  <c r="L242" i="1" s="1"/>
  <c r="M242" i="1" s="1"/>
  <c r="F241" i="1"/>
  <c r="G241" i="1" s="1"/>
  <c r="F240" i="1"/>
  <c r="F239" i="1"/>
  <c r="G239" i="1" s="1"/>
  <c r="F237" i="1"/>
  <c r="I237" i="1" s="1"/>
  <c r="F236" i="1"/>
  <c r="I236" i="1" s="1"/>
  <c r="F235" i="1"/>
  <c r="F233" i="1"/>
  <c r="G233" i="1" s="1"/>
  <c r="F232" i="1"/>
  <c r="G232" i="1" s="1"/>
  <c r="F231" i="1"/>
  <c r="I231" i="1" s="1"/>
  <c r="F229" i="1"/>
  <c r="I229" i="1" s="1"/>
  <c r="F228" i="1"/>
  <c r="G228" i="1" s="1"/>
  <c r="F227" i="1"/>
  <c r="F225" i="1"/>
  <c r="I225" i="1" s="1"/>
  <c r="F224" i="1"/>
  <c r="F222" i="1"/>
  <c r="F221" i="1"/>
  <c r="G221" i="1" s="1"/>
  <c r="F219" i="1"/>
  <c r="G219" i="1" s="1"/>
  <c r="F217" i="1"/>
  <c r="I217" i="1" s="1"/>
  <c r="L217" i="1" s="1"/>
  <c r="M217" i="1" s="1"/>
  <c r="F216" i="1"/>
  <c r="F215" i="1"/>
  <c r="F214" i="1"/>
  <c r="F213" i="1"/>
  <c r="F212" i="1"/>
  <c r="G212" i="1" s="1"/>
  <c r="F211" i="1"/>
  <c r="F210" i="1"/>
  <c r="I210" i="1" s="1"/>
  <c r="F208" i="1"/>
  <c r="I208" i="1" s="1"/>
  <c r="F207" i="1"/>
  <c r="F205" i="1"/>
  <c r="F204" i="1"/>
  <c r="I204" i="1" s="1"/>
  <c r="F203" i="1"/>
  <c r="F202" i="1"/>
  <c r="G202" i="1" s="1"/>
  <c r="F201" i="1"/>
  <c r="I201" i="1" s="1"/>
  <c r="F198" i="1"/>
  <c r="G198" i="1" s="1"/>
  <c r="F197" i="1"/>
  <c r="G197" i="1" s="1"/>
  <c r="F196" i="1"/>
  <c r="F195" i="1"/>
  <c r="G195" i="1" s="1"/>
  <c r="F194" i="1"/>
  <c r="I194" i="1" s="1"/>
  <c r="L194" i="1" s="1"/>
  <c r="M194" i="1" s="1"/>
  <c r="F193" i="1"/>
  <c r="F192" i="1"/>
  <c r="I192" i="1" s="1"/>
  <c r="F191" i="1"/>
  <c r="I191" i="1" s="1"/>
  <c r="F190" i="1"/>
  <c r="F189" i="1"/>
  <c r="F188" i="1"/>
  <c r="G188" i="1" s="1"/>
  <c r="F185" i="1"/>
  <c r="I185" i="1" s="1"/>
  <c r="F184" i="1"/>
  <c r="I184" i="1" s="1"/>
  <c r="J184" i="1" s="1"/>
  <c r="F183" i="1"/>
  <c r="I183" i="1" s="1"/>
  <c r="J183" i="1" s="1"/>
  <c r="F182" i="1"/>
  <c r="F181" i="1"/>
  <c r="G181" i="1" s="1"/>
  <c r="F180" i="1"/>
  <c r="G180" i="1" s="1"/>
  <c r="F179" i="1"/>
  <c r="G179" i="1" s="1"/>
  <c r="F178" i="1"/>
  <c r="F177" i="1"/>
  <c r="G177" i="1" s="1"/>
  <c r="F176" i="1"/>
  <c r="F175" i="1"/>
  <c r="F174" i="1"/>
  <c r="G174" i="1" s="1"/>
  <c r="F172" i="1"/>
  <c r="F171" i="1"/>
  <c r="I171" i="1" s="1"/>
  <c r="F170" i="1"/>
  <c r="F169" i="1"/>
  <c r="I169" i="1" s="1"/>
  <c r="J169" i="1" s="1"/>
  <c r="F168" i="1"/>
  <c r="G168" i="1" s="1"/>
  <c r="L166" i="1"/>
  <c r="I166" i="1"/>
  <c r="J166" i="1" s="1"/>
  <c r="G166" i="1"/>
  <c r="L165" i="1"/>
  <c r="M165" i="1" s="1"/>
  <c r="I165" i="1"/>
  <c r="J165" i="1" s="1"/>
  <c r="G165" i="1"/>
  <c r="L164" i="1"/>
  <c r="I164" i="1"/>
  <c r="F164" i="1"/>
  <c r="G164" i="1" s="1"/>
  <c r="F163" i="1"/>
  <c r="G163" i="1" s="1"/>
  <c r="F162" i="1"/>
  <c r="G162" i="1" s="1"/>
  <c r="F161" i="1"/>
  <c r="F160" i="1"/>
  <c r="F159" i="1"/>
  <c r="G159" i="1" s="1"/>
  <c r="F158" i="1"/>
  <c r="F157" i="1"/>
  <c r="I157" i="1" s="1"/>
  <c r="F155" i="1"/>
  <c r="F154" i="1"/>
  <c r="F153" i="1"/>
  <c r="I153" i="1" s="1"/>
  <c r="L153" i="1" s="1"/>
  <c r="M153" i="1" s="1"/>
  <c r="F151" i="1"/>
  <c r="G151" i="1" s="1"/>
  <c r="F149" i="1"/>
  <c r="F148" i="1"/>
  <c r="F147" i="1"/>
  <c r="I147" i="1" s="1"/>
  <c r="F144" i="1"/>
  <c r="F143" i="1"/>
  <c r="I143" i="1" s="1"/>
  <c r="J143" i="1" s="1"/>
  <c r="F142" i="1"/>
  <c r="F141" i="1"/>
  <c r="I141" i="1" s="1"/>
  <c r="F140" i="1"/>
  <c r="F139" i="1"/>
  <c r="I139" i="1" s="1"/>
  <c r="F138" i="1"/>
  <c r="G138" i="1" s="1"/>
  <c r="F137" i="1"/>
  <c r="F136" i="1"/>
  <c r="F135" i="1"/>
  <c r="G135" i="1" s="1"/>
  <c r="F134" i="1"/>
  <c r="G134" i="1" s="1"/>
  <c r="F133" i="1"/>
  <c r="I133" i="1" s="1"/>
  <c r="L133" i="1" s="1"/>
  <c r="F125" i="1"/>
  <c r="F124" i="1"/>
  <c r="I124" i="1" s="1"/>
  <c r="F123" i="1"/>
  <c r="F122" i="1"/>
  <c r="F121" i="1"/>
  <c r="I121" i="1" s="1"/>
  <c r="L121" i="1" s="1"/>
  <c r="M121" i="1" s="1"/>
  <c r="F120" i="1"/>
  <c r="I120" i="1" s="1"/>
  <c r="F119" i="1"/>
  <c r="F118" i="1"/>
  <c r="I118" i="1" s="1"/>
  <c r="L118" i="1" s="1"/>
  <c r="M118" i="1" s="1"/>
  <c r="F117" i="1"/>
  <c r="G117" i="1" s="1"/>
  <c r="F116" i="1"/>
  <c r="F115" i="1"/>
  <c r="I115" i="1" s="1"/>
  <c r="L115" i="1" s="1"/>
  <c r="M115" i="1" s="1"/>
  <c r="F114" i="1"/>
  <c r="F113" i="1"/>
  <c r="I113" i="1" s="1"/>
  <c r="F111" i="1"/>
  <c r="F110" i="1"/>
  <c r="G110" i="1" s="1"/>
  <c r="F107" i="1"/>
  <c r="G107" i="1" s="1"/>
  <c r="F106" i="1"/>
  <c r="I106" i="1" s="1"/>
  <c r="F105" i="1"/>
  <c r="G105" i="1" s="1"/>
  <c r="F104" i="1"/>
  <c r="I104" i="1" s="1"/>
  <c r="F102" i="1"/>
  <c r="I102" i="1" s="1"/>
  <c r="F101" i="1"/>
  <c r="F100" i="1"/>
  <c r="G100" i="1" s="1"/>
  <c r="F98" i="1"/>
  <c r="I98" i="1" s="1"/>
  <c r="I96" i="1" s="1"/>
  <c r="M97" i="1"/>
  <c r="J97" i="1"/>
  <c r="G97" i="1"/>
  <c r="F95" i="1"/>
  <c r="F94" i="1"/>
  <c r="G94" i="1" s="1"/>
  <c r="F91" i="1"/>
  <c r="G91" i="1" s="1"/>
  <c r="F90" i="1"/>
  <c r="F88" i="1"/>
  <c r="I88" i="1" s="1"/>
  <c r="F87" i="1"/>
  <c r="G87" i="1" s="1"/>
  <c r="F86" i="1"/>
  <c r="I86" i="1" s="1"/>
  <c r="J86" i="1" s="1"/>
  <c r="F85" i="1"/>
  <c r="G85" i="1" s="1"/>
  <c r="F84" i="1"/>
  <c r="G84" i="1" s="1"/>
  <c r="F83" i="1"/>
  <c r="F82" i="1"/>
  <c r="F81" i="1"/>
  <c r="I81" i="1" s="1"/>
  <c r="F80" i="1"/>
  <c r="G80" i="1" s="1"/>
  <c r="F79" i="1"/>
  <c r="I79" i="1" s="1"/>
  <c r="L79" i="1" s="1"/>
  <c r="M79" i="1" s="1"/>
  <c r="F78" i="1"/>
  <c r="I78" i="1" s="1"/>
  <c r="F77" i="1"/>
  <c r="I77" i="1" s="1"/>
  <c r="F76" i="1"/>
  <c r="G76" i="1" s="1"/>
  <c r="F75" i="1"/>
  <c r="F74" i="1"/>
  <c r="I74" i="1" s="1"/>
  <c r="J74" i="1" s="1"/>
  <c r="F73" i="1"/>
  <c r="F72" i="1"/>
  <c r="I72" i="1" s="1"/>
  <c r="F71" i="1"/>
  <c r="I71" i="1" s="1"/>
  <c r="F70" i="1"/>
  <c r="I70" i="1" s="1"/>
  <c r="J70" i="1" s="1"/>
  <c r="F69" i="1"/>
  <c r="G69" i="1" s="1"/>
  <c r="F68" i="1"/>
  <c r="I68" i="1" s="1"/>
  <c r="L68" i="1" s="1"/>
  <c r="F66" i="1"/>
  <c r="I66" i="1" s="1"/>
  <c r="F65" i="1"/>
  <c r="I65" i="1" s="1"/>
  <c r="L65" i="1" s="1"/>
  <c r="M65" i="1" s="1"/>
  <c r="F64" i="1"/>
  <c r="G64" i="1" s="1"/>
  <c r="F63" i="1"/>
  <c r="G63" i="1" s="1"/>
  <c r="F62" i="1"/>
  <c r="G62" i="1" s="1"/>
  <c r="M61" i="1"/>
  <c r="J61" i="1"/>
  <c r="F60" i="1"/>
  <c r="I60" i="1" s="1"/>
  <c r="F59" i="1"/>
  <c r="F58" i="1"/>
  <c r="I58" i="1" s="1"/>
  <c r="J58" i="1" s="1"/>
  <c r="F57" i="1"/>
  <c r="I57" i="1" s="1"/>
  <c r="F56" i="1"/>
  <c r="F55" i="1"/>
  <c r="I55" i="1" s="1"/>
  <c r="L55" i="1" s="1"/>
  <c r="M55" i="1" s="1"/>
  <c r="F54" i="1"/>
  <c r="I54" i="1" s="1"/>
  <c r="J54" i="1" s="1"/>
  <c r="F53" i="1"/>
  <c r="M51" i="1"/>
  <c r="J51" i="1"/>
  <c r="G51" i="1"/>
  <c r="L50" i="1"/>
  <c r="M50" i="1" s="1"/>
  <c r="J50" i="1"/>
  <c r="G50" i="1"/>
  <c r="I49" i="1"/>
  <c r="F49" i="1"/>
  <c r="G49" i="1" s="1"/>
  <c r="F48" i="1"/>
  <c r="F47" i="1"/>
  <c r="I47" i="1" s="1"/>
  <c r="F46" i="1"/>
  <c r="F43" i="1"/>
  <c r="I43" i="1" s="1"/>
  <c r="L43" i="1" s="1"/>
  <c r="M43" i="1" s="1"/>
  <c r="F42" i="1"/>
  <c r="I42" i="1" s="1"/>
  <c r="L42" i="1" s="1"/>
  <c r="M42" i="1" s="1"/>
  <c r="F41" i="1"/>
  <c r="G41" i="1" s="1"/>
  <c r="F40" i="1"/>
  <c r="G40" i="1" s="1"/>
  <c r="F38" i="1"/>
  <c r="F37" i="1"/>
  <c r="G37" i="1" s="1"/>
  <c r="F35" i="1"/>
  <c r="F34" i="1"/>
  <c r="G34" i="1" s="1"/>
  <c r="F33" i="1"/>
  <c r="F32" i="1"/>
  <c r="I32" i="1" s="1"/>
  <c r="L32" i="1" s="1"/>
  <c r="M32" i="1" s="1"/>
  <c r="F31" i="1"/>
  <c r="F30" i="1"/>
  <c r="G30" i="1" s="1"/>
  <c r="F29" i="1"/>
  <c r="F27" i="1"/>
  <c r="I27" i="1" s="1"/>
  <c r="L27" i="1" s="1"/>
  <c r="M27" i="1" s="1"/>
  <c r="F26" i="1"/>
  <c r="G26" i="1" s="1"/>
  <c r="F25" i="1"/>
  <c r="G25" i="1" s="1"/>
  <c r="F22" i="1"/>
  <c r="G22" i="1" s="1"/>
  <c r="F21" i="1"/>
  <c r="F19" i="1"/>
  <c r="F18" i="1"/>
  <c r="G18" i="1" s="1"/>
  <c r="F16" i="1"/>
  <c r="G16" i="1" s="1"/>
  <c r="F15" i="1"/>
  <c r="F13" i="1"/>
  <c r="G13" i="1" s="1"/>
  <c r="F12" i="1"/>
  <c r="I12" i="1" s="1"/>
  <c r="L9" i="1"/>
  <c r="M9" i="1" s="1"/>
  <c r="I9" i="1"/>
  <c r="F9" i="1"/>
  <c r="F8" i="1"/>
  <c r="G8" i="1" s="1"/>
  <c r="AC153" i="2" l="1"/>
  <c r="AF21" i="2"/>
  <c r="AD153" i="2"/>
  <c r="AB191" i="2"/>
  <c r="AD157" i="2"/>
  <c r="Z151" i="2"/>
  <c r="U55" i="2"/>
  <c r="AB55" i="2"/>
  <c r="AD131" i="2"/>
  <c r="X11" i="2"/>
  <c r="AC13" i="2"/>
  <c r="W15" i="2"/>
  <c r="AC17" i="2"/>
  <c r="Y19" i="2"/>
  <c r="AF19" i="2" s="1"/>
  <c r="U21" i="2"/>
  <c r="W23" i="2"/>
  <c r="V23" i="2"/>
  <c r="U23" i="2"/>
  <c r="AE23" i="2"/>
  <c r="U27" i="2"/>
  <c r="AA29" i="2"/>
  <c r="AF31" i="2"/>
  <c r="AC35" i="2"/>
  <c r="AD37" i="2"/>
  <c r="X51" i="2"/>
  <c r="Y57" i="2"/>
  <c r="X57" i="2"/>
  <c r="W57" i="2"/>
  <c r="V57" i="2"/>
  <c r="Y63" i="2"/>
  <c r="AF63" i="2" s="1"/>
  <c r="AC71" i="2"/>
  <c r="AB71" i="2"/>
  <c r="AA71" i="2"/>
  <c r="Z71" i="2"/>
  <c r="Y71" i="2"/>
  <c r="X71" i="2"/>
  <c r="AC75" i="2"/>
  <c r="AB75" i="2"/>
  <c r="AA75" i="2"/>
  <c r="Z75" i="2"/>
  <c r="Y75" i="2"/>
  <c r="X75" i="2"/>
  <c r="AF75" i="2" s="1"/>
  <c r="AC79" i="2"/>
  <c r="AB79" i="2"/>
  <c r="AA79" i="2"/>
  <c r="Z79" i="2"/>
  <c r="Y79" i="2"/>
  <c r="X79" i="2"/>
  <c r="AC83" i="2"/>
  <c r="AB83" i="2"/>
  <c r="AA83" i="2"/>
  <c r="Z83" i="2"/>
  <c r="Y83" i="2"/>
  <c r="X83" i="2"/>
  <c r="AF83" i="2" s="1"/>
  <c r="AC87" i="2"/>
  <c r="AB87" i="2"/>
  <c r="AA87" i="2"/>
  <c r="Z87" i="2"/>
  <c r="Y87" i="2"/>
  <c r="X87" i="2"/>
  <c r="AC91" i="2"/>
  <c r="AB91" i="2"/>
  <c r="AA91" i="2"/>
  <c r="Z91" i="2"/>
  <c r="Y91" i="2"/>
  <c r="X91" i="2"/>
  <c r="AF91" i="2" s="1"/>
  <c r="AC95" i="2"/>
  <c r="AB95" i="2"/>
  <c r="AA95" i="2"/>
  <c r="Z95" i="2"/>
  <c r="Y95" i="2"/>
  <c r="X95" i="2"/>
  <c r="AC99" i="2"/>
  <c r="AB99" i="2"/>
  <c r="AA99" i="2"/>
  <c r="Z99" i="2"/>
  <c r="Y99" i="2"/>
  <c r="X99" i="2"/>
  <c r="AF99" i="2" s="1"/>
  <c r="AC103" i="2"/>
  <c r="AB103" i="2"/>
  <c r="AA103" i="2"/>
  <c r="Z103" i="2"/>
  <c r="Y103" i="2"/>
  <c r="X103" i="2"/>
  <c r="AC107" i="2"/>
  <c r="AB107" i="2"/>
  <c r="AA107" i="2"/>
  <c r="Z107" i="2"/>
  <c r="Y107" i="2"/>
  <c r="X107" i="2"/>
  <c r="AF107" i="2" s="1"/>
  <c r="AC111" i="2"/>
  <c r="AB111" i="2"/>
  <c r="AA111" i="2"/>
  <c r="Z111" i="2"/>
  <c r="Y111" i="2"/>
  <c r="X111" i="2"/>
  <c r="AC115" i="2"/>
  <c r="AB115" i="2"/>
  <c r="AA115" i="2"/>
  <c r="Z115" i="2"/>
  <c r="Y115" i="2"/>
  <c r="X115" i="2"/>
  <c r="AF115" i="2" s="1"/>
  <c r="AC119" i="2"/>
  <c r="AB119" i="2"/>
  <c r="AA119" i="2"/>
  <c r="Z119" i="2"/>
  <c r="Y119" i="2"/>
  <c r="X119" i="2"/>
  <c r="AC123" i="2"/>
  <c r="AB123" i="2"/>
  <c r="AA123" i="2"/>
  <c r="Z123" i="2"/>
  <c r="Y123" i="2"/>
  <c r="X123" i="2"/>
  <c r="AF123" i="2" s="1"/>
  <c r="AC127" i="2"/>
  <c r="AB127" i="2"/>
  <c r="AA127" i="2"/>
  <c r="Z127" i="2"/>
  <c r="Y127" i="2"/>
  <c r="X127" i="2"/>
  <c r="AE142" i="2"/>
  <c r="AB143" i="2" s="1"/>
  <c r="AC159" i="2"/>
  <c r="V174" i="2"/>
  <c r="AC73" i="2"/>
  <c r="AB73" i="2"/>
  <c r="AA73" i="2"/>
  <c r="Z73" i="2"/>
  <c r="Y73" i="2"/>
  <c r="X73" i="2"/>
  <c r="Y11" i="2"/>
  <c r="AD13" i="2"/>
  <c r="X15" i="2"/>
  <c r="AD17" i="2"/>
  <c r="Z19" i="2"/>
  <c r="V21" i="2"/>
  <c r="AD35" i="2"/>
  <c r="AE37" i="2"/>
  <c r="Z63" i="2"/>
  <c r="AC67" i="2"/>
  <c r="AB67" i="2"/>
  <c r="AA67" i="2"/>
  <c r="Z67" i="2"/>
  <c r="Y67" i="2"/>
  <c r="X67" i="2"/>
  <c r="AD147" i="2"/>
  <c r="AC147" i="2"/>
  <c r="AF156" i="2"/>
  <c r="AE163" i="2"/>
  <c r="AD163" i="2"/>
  <c r="AB163" i="2"/>
  <c r="AE11" i="2"/>
  <c r="X13" i="2"/>
  <c r="AD15" i="2"/>
  <c r="X17" i="2"/>
  <c r="AC21" i="2"/>
  <c r="AB23" i="2"/>
  <c r="AF23" i="2" s="1"/>
  <c r="AF41" i="2"/>
  <c r="AA45" i="2"/>
  <c r="V53" i="2"/>
  <c r="AC55" i="2"/>
  <c r="AE57" i="2"/>
  <c r="V65" i="2"/>
  <c r="AC69" i="2"/>
  <c r="AB69" i="2"/>
  <c r="AA69" i="2"/>
  <c r="Z69" i="2"/>
  <c r="Y69" i="2"/>
  <c r="X69" i="2"/>
  <c r="AF69" i="2" s="1"/>
  <c r="Y141" i="2"/>
  <c r="AE144" i="2"/>
  <c r="AF144" i="2" s="1"/>
  <c r="AA149" i="2"/>
  <c r="AF158" i="2"/>
  <c r="AC168" i="2"/>
  <c r="X183" i="2"/>
  <c r="Y13" i="2"/>
  <c r="Y17" i="2"/>
  <c r="U19" i="2"/>
  <c r="AD21" i="2"/>
  <c r="Y29" i="2"/>
  <c r="X29" i="2"/>
  <c r="W29" i="2"/>
  <c r="V29" i="2"/>
  <c r="Z37" i="2"/>
  <c r="AF39" i="2"/>
  <c r="AB45" i="2"/>
  <c r="W53" i="2"/>
  <c r="AD55" i="2"/>
  <c r="W65" i="2"/>
  <c r="Z141" i="2"/>
  <c r="AC151" i="2"/>
  <c r="AA151" i="2"/>
  <c r="AA191" i="2"/>
  <c r="Z191" i="2"/>
  <c r="Y191" i="2"/>
  <c r="U11" i="2"/>
  <c r="Z13" i="2"/>
  <c r="Z17" i="2"/>
  <c r="V19" i="2"/>
  <c r="AE21" i="2"/>
  <c r="AB27" i="2"/>
  <c r="AA27" i="2"/>
  <c r="Z27" i="2"/>
  <c r="Z167" i="2" s="1"/>
  <c r="Y27" i="2"/>
  <c r="X27" i="2"/>
  <c r="AF33" i="2"/>
  <c r="AA37" i="2"/>
  <c r="AC45" i="2"/>
  <c r="AE51" i="2"/>
  <c r="AD51" i="2"/>
  <c r="AC51" i="2"/>
  <c r="AB51" i="2"/>
  <c r="X53" i="2"/>
  <c r="AD65" i="2"/>
  <c r="AD73" i="2"/>
  <c r="AD171" i="2" s="1"/>
  <c r="AD81" i="2"/>
  <c r="AD89" i="2"/>
  <c r="AD101" i="2"/>
  <c r="AD117" i="2"/>
  <c r="Z133" i="2"/>
  <c r="Y133" i="2"/>
  <c r="X133" i="2"/>
  <c r="AF133" i="2" s="1"/>
  <c r="AA141" i="2"/>
  <c r="AE148" i="2"/>
  <c r="AA153" i="2"/>
  <c r="AE160" i="2"/>
  <c r="AE161" i="2" s="1"/>
  <c r="AF162" i="2"/>
  <c r="AE13" i="2"/>
  <c r="AE17" i="2"/>
  <c r="AA55" i="2"/>
  <c r="Z55" i="2"/>
  <c r="Y55" i="2"/>
  <c r="X55" i="2"/>
  <c r="W55" i="2"/>
  <c r="Z157" i="2"/>
  <c r="Y157" i="2"/>
  <c r="AF166" i="2"/>
  <c r="X174" i="2"/>
  <c r="I10" i="2"/>
  <c r="Y147" i="2"/>
  <c r="AE150" i="2"/>
  <c r="AE151" i="2" s="1"/>
  <c r="W17" i="2"/>
  <c r="W167" i="2" s="1"/>
  <c r="AB35" i="2"/>
  <c r="AA35" i="2"/>
  <c r="Z35" i="2"/>
  <c r="Y35" i="2"/>
  <c r="X35" i="2"/>
  <c r="U53" i="2"/>
  <c r="AC77" i="2"/>
  <c r="AB77" i="2"/>
  <c r="AA77" i="2"/>
  <c r="Z77" i="2"/>
  <c r="Y77" i="2"/>
  <c r="X77" i="2"/>
  <c r="AC85" i="2"/>
  <c r="AB85" i="2"/>
  <c r="AA85" i="2"/>
  <c r="Z85" i="2"/>
  <c r="Y85" i="2"/>
  <c r="X85" i="2"/>
  <c r="AF85" i="2" s="1"/>
  <c r="AC93" i="2"/>
  <c r="AB93" i="2"/>
  <c r="AA93" i="2"/>
  <c r="Z93" i="2"/>
  <c r="Y93" i="2"/>
  <c r="X93" i="2"/>
  <c r="AF93" i="2" s="1"/>
  <c r="AC97" i="2"/>
  <c r="AB97" i="2"/>
  <c r="AA97" i="2"/>
  <c r="Z97" i="2"/>
  <c r="Y97" i="2"/>
  <c r="X97" i="2"/>
  <c r="AF97" i="2" s="1"/>
  <c r="AC105" i="2"/>
  <c r="AB105" i="2"/>
  <c r="AA105" i="2"/>
  <c r="Z105" i="2"/>
  <c r="Y105" i="2"/>
  <c r="X105" i="2"/>
  <c r="AC109" i="2"/>
  <c r="AB109" i="2"/>
  <c r="AA109" i="2"/>
  <c r="Z109" i="2"/>
  <c r="Y109" i="2"/>
  <c r="X109" i="2"/>
  <c r="AF109" i="2" s="1"/>
  <c r="AC113" i="2"/>
  <c r="AB113" i="2"/>
  <c r="AA113" i="2"/>
  <c r="Z113" i="2"/>
  <c r="Y113" i="2"/>
  <c r="X113" i="2"/>
  <c r="AC121" i="2"/>
  <c r="AB121" i="2"/>
  <c r="AA121" i="2"/>
  <c r="Z121" i="2"/>
  <c r="Y121" i="2"/>
  <c r="X121" i="2"/>
  <c r="AF121" i="2" s="1"/>
  <c r="AC125" i="2"/>
  <c r="AB125" i="2"/>
  <c r="AA125" i="2"/>
  <c r="Z125" i="2"/>
  <c r="Y125" i="2"/>
  <c r="X125" i="2"/>
  <c r="AB129" i="2"/>
  <c r="AA129" i="2"/>
  <c r="Z129" i="2"/>
  <c r="Y129" i="2"/>
  <c r="X129" i="2"/>
  <c r="V11" i="2"/>
  <c r="I12" i="2"/>
  <c r="AA13" i="2"/>
  <c r="AA167" i="2" s="1"/>
  <c r="U15" i="2"/>
  <c r="AA17" i="2"/>
  <c r="W19" i="2"/>
  <c r="V35" i="2"/>
  <c r="AF59" i="2"/>
  <c r="AF61" i="2"/>
  <c r="W63" i="2"/>
  <c r="AE73" i="2"/>
  <c r="AE171" i="2" s="1"/>
  <c r="AE179" i="2" s="1"/>
  <c r="AE77" i="2"/>
  <c r="AE85" i="2"/>
  <c r="AE93" i="2"/>
  <c r="AE97" i="2"/>
  <c r="AE105" i="2"/>
  <c r="AE109" i="2"/>
  <c r="AE113" i="2"/>
  <c r="AE121" i="2"/>
  <c r="AE125" i="2"/>
  <c r="AC129" i="2"/>
  <c r="AA143" i="2"/>
  <c r="AE155" i="2"/>
  <c r="AF155" i="2" s="1"/>
  <c r="AD155" i="2"/>
  <c r="AC155" i="2"/>
  <c r="Y163" i="2"/>
  <c r="R175" i="2"/>
  <c r="AB131" i="2"/>
  <c r="AA131" i="2"/>
  <c r="Z131" i="2"/>
  <c r="Y131" i="2"/>
  <c r="X131" i="2"/>
  <c r="U13" i="2"/>
  <c r="U17" i="2"/>
  <c r="Y45" i="2"/>
  <c r="X45" i="2"/>
  <c r="W45" i="2"/>
  <c r="V45" i="2"/>
  <c r="U45" i="2"/>
  <c r="AD53" i="2"/>
  <c r="AC53" i="2"/>
  <c r="AB53" i="2"/>
  <c r="AA53" i="2"/>
  <c r="Z53" i="2"/>
  <c r="Z174" i="2"/>
  <c r="AC167" i="2"/>
  <c r="V13" i="2"/>
  <c r="AD19" i="2"/>
  <c r="AF49" i="2"/>
  <c r="V55" i="2"/>
  <c r="AC65" i="2"/>
  <c r="AB65" i="2"/>
  <c r="AA65" i="2"/>
  <c r="Z65" i="2"/>
  <c r="Y65" i="2"/>
  <c r="X65" i="2"/>
  <c r="AC131" i="2"/>
  <c r="AF150" i="2"/>
  <c r="AD183" i="2"/>
  <c r="AC183" i="2"/>
  <c r="AB183" i="2"/>
  <c r="AA183" i="2"/>
  <c r="Z183" i="2"/>
  <c r="Y183" i="2"/>
  <c r="AE19" i="2"/>
  <c r="Y37" i="2"/>
  <c r="X37" i="2"/>
  <c r="AF37" i="2" s="1"/>
  <c r="W37" i="2"/>
  <c r="W207" i="2" s="1"/>
  <c r="W209" i="2" s="1"/>
  <c r="V37" i="2"/>
  <c r="Z45" i="2"/>
  <c r="AC81" i="2"/>
  <c r="AB81" i="2"/>
  <c r="AA81" i="2"/>
  <c r="Z81" i="2"/>
  <c r="Y81" i="2"/>
  <c r="X81" i="2"/>
  <c r="AC89" i="2"/>
  <c r="AB89" i="2"/>
  <c r="AA89" i="2"/>
  <c r="Z89" i="2"/>
  <c r="Y89" i="2"/>
  <c r="X89" i="2"/>
  <c r="AF89" i="2" s="1"/>
  <c r="AC101" i="2"/>
  <c r="AB101" i="2"/>
  <c r="AA101" i="2"/>
  <c r="Z101" i="2"/>
  <c r="Y101" i="2"/>
  <c r="X101" i="2"/>
  <c r="AC117" i="2"/>
  <c r="AB117" i="2"/>
  <c r="AA117" i="2"/>
  <c r="Z117" i="2"/>
  <c r="Y117" i="2"/>
  <c r="X117" i="2"/>
  <c r="AF117" i="2" s="1"/>
  <c r="Z29" i="2"/>
  <c r="W35" i="2"/>
  <c r="AC37" i="2"/>
  <c r="AE45" i="2"/>
  <c r="AE53" i="2"/>
  <c r="AD129" i="2"/>
  <c r="AE145" i="2"/>
  <c r="AD145" i="2"/>
  <c r="AB145" i="2"/>
  <c r="AE152" i="2"/>
  <c r="AE153" i="2" s="1"/>
  <c r="AC157" i="2"/>
  <c r="AE159" i="2"/>
  <c r="AD159" i="2"/>
  <c r="AB159" i="2"/>
  <c r="AF159" i="2" s="1"/>
  <c r="Z163" i="2"/>
  <c r="AF170" i="2"/>
  <c r="AI170" i="2" s="1"/>
  <c r="AB141" i="2"/>
  <c r="AB147" i="2"/>
  <c r="AE190" i="2"/>
  <c r="X191" i="2" s="1"/>
  <c r="AA25" i="2"/>
  <c r="AD31" i="2"/>
  <c r="AD33" i="2"/>
  <c r="AD39" i="2"/>
  <c r="AB41" i="2"/>
  <c r="AE47" i="2"/>
  <c r="AF47" i="2" s="1"/>
  <c r="AB49" i="2"/>
  <c r="AE61" i="2"/>
  <c r="AB63" i="2"/>
  <c r="AC141" i="2"/>
  <c r="AF190" i="2"/>
  <c r="AB25" i="2"/>
  <c r="AF25" i="2" s="1"/>
  <c r="AE39" i="2"/>
  <c r="AC41" i="2"/>
  <c r="AC49" i="2"/>
  <c r="AC63" i="2"/>
  <c r="AC25" i="2"/>
  <c r="AD41" i="2"/>
  <c r="AD49" i="2"/>
  <c r="AD63" i="2"/>
  <c r="X135" i="2"/>
  <c r="AF135" i="2" s="1"/>
  <c r="X137" i="2"/>
  <c r="Y143" i="2"/>
  <c r="AA157" i="2"/>
  <c r="AE166" i="2"/>
  <c r="AD25" i="2"/>
  <c r="W59" i="2"/>
  <c r="Y135" i="2"/>
  <c r="Y137" i="2"/>
  <c r="X139" i="2"/>
  <c r="AF139" i="2" s="1"/>
  <c r="Z143" i="2"/>
  <c r="Z149" i="2"/>
  <c r="Z153" i="2"/>
  <c r="AB157" i="2"/>
  <c r="J164" i="1"/>
  <c r="L49" i="1"/>
  <c r="F20" i="1"/>
  <c r="G20" i="1" s="1"/>
  <c r="J9" i="1"/>
  <c r="J272" i="1"/>
  <c r="F269" i="1"/>
  <c r="I148" i="1"/>
  <c r="M166" i="1"/>
  <c r="I94" i="1"/>
  <c r="L94" i="1" s="1"/>
  <c r="M272" i="1"/>
  <c r="G54" i="1"/>
  <c r="G157" i="1"/>
  <c r="F206" i="1"/>
  <c r="G206" i="1" s="1"/>
  <c r="I107" i="1"/>
  <c r="L107" i="1" s="1"/>
  <c r="M107" i="1" s="1"/>
  <c r="F103" i="1"/>
  <c r="G103" i="1" s="1"/>
  <c r="F156" i="1"/>
  <c r="I239" i="1"/>
  <c r="I232" i="1"/>
  <c r="L232" i="1" s="1"/>
  <c r="M232" i="1" s="1"/>
  <c r="F89" i="1"/>
  <c r="G89" i="1" s="1"/>
  <c r="G194" i="1"/>
  <c r="I233" i="1"/>
  <c r="J233" i="1" s="1"/>
  <c r="F255" i="1"/>
  <c r="F247" i="1" s="1"/>
  <c r="I30" i="1"/>
  <c r="G42" i="1"/>
  <c r="J42" i="1"/>
  <c r="F226" i="1"/>
  <c r="G226" i="1" s="1"/>
  <c r="M164" i="1"/>
  <c r="F36" i="1"/>
  <c r="G36" i="1" s="1"/>
  <c r="I195" i="1"/>
  <c r="L195" i="1" s="1"/>
  <c r="M195" i="1" s="1"/>
  <c r="F230" i="1"/>
  <c r="G230" i="1" s="1"/>
  <c r="G248" i="1"/>
  <c r="G55" i="1"/>
  <c r="G70" i="1"/>
  <c r="J49" i="1"/>
  <c r="G60" i="1"/>
  <c r="J115" i="1"/>
  <c r="G133" i="1"/>
  <c r="I37" i="1"/>
  <c r="F52" i="1"/>
  <c r="F45" i="1" s="1"/>
  <c r="I174" i="1"/>
  <c r="J174" i="1" s="1"/>
  <c r="G178" i="1"/>
  <c r="G249" i="1"/>
  <c r="F261" i="1"/>
  <c r="G231" i="1"/>
  <c r="G264" i="1"/>
  <c r="G79" i="1"/>
  <c r="I146" i="1"/>
  <c r="G183" i="1"/>
  <c r="I188" i="1"/>
  <c r="I249" i="1"/>
  <c r="L249" i="1" s="1"/>
  <c r="M249" i="1" s="1"/>
  <c r="I34" i="1"/>
  <c r="L34" i="1" s="1"/>
  <c r="M34" i="1" s="1"/>
  <c r="I87" i="1"/>
  <c r="L183" i="1"/>
  <c r="M183" i="1" s="1"/>
  <c r="I179" i="1"/>
  <c r="J194" i="1"/>
  <c r="I228" i="1"/>
  <c r="J228" i="1" s="1"/>
  <c r="I250" i="1"/>
  <c r="L250" i="1" s="1"/>
  <c r="M250" i="1" s="1"/>
  <c r="G256" i="1"/>
  <c r="I262" i="1"/>
  <c r="L262" i="1" s="1"/>
  <c r="M262" i="1" s="1"/>
  <c r="G153" i="1"/>
  <c r="I254" i="1"/>
  <c r="L254" i="1" s="1"/>
  <c r="M254" i="1" s="1"/>
  <c r="G155" i="1"/>
  <c r="I256" i="1"/>
  <c r="L256" i="1" s="1"/>
  <c r="G267" i="1"/>
  <c r="I13" i="1"/>
  <c r="L13" i="1" s="1"/>
  <c r="M13" i="1" s="1"/>
  <c r="I155" i="1"/>
  <c r="L155" i="1" s="1"/>
  <c r="M155" i="1" s="1"/>
  <c r="I267" i="1"/>
  <c r="J124" i="1"/>
  <c r="L124" i="1"/>
  <c r="M124" i="1" s="1"/>
  <c r="L78" i="1"/>
  <c r="M78" i="1" s="1"/>
  <c r="J78" i="1"/>
  <c r="L141" i="1"/>
  <c r="M141" i="1" s="1"/>
  <c r="J141" i="1"/>
  <c r="J225" i="1"/>
  <c r="L225" i="1"/>
  <c r="M225" i="1" s="1"/>
  <c r="L66" i="1"/>
  <c r="M66" i="1" s="1"/>
  <c r="J66" i="1"/>
  <c r="L72" i="1"/>
  <c r="M72" i="1" s="1"/>
  <c r="J72" i="1"/>
  <c r="L191" i="1"/>
  <c r="M191" i="1" s="1"/>
  <c r="J191" i="1"/>
  <c r="L208" i="1"/>
  <c r="M208" i="1" s="1"/>
  <c r="J208" i="1"/>
  <c r="J106" i="1"/>
  <c r="L106" i="1"/>
  <c r="M106" i="1" s="1"/>
  <c r="L81" i="1"/>
  <c r="M81" i="1" s="1"/>
  <c r="J81" i="1"/>
  <c r="L204" i="1"/>
  <c r="M204" i="1" s="1"/>
  <c r="J204" i="1"/>
  <c r="J229" i="1"/>
  <c r="L229" i="1"/>
  <c r="M229" i="1" s="1"/>
  <c r="L237" i="1"/>
  <c r="M237" i="1" s="1"/>
  <c r="J237" i="1"/>
  <c r="I244" i="1"/>
  <c r="I8" i="1"/>
  <c r="I7" i="1" s="1"/>
  <c r="G106" i="1"/>
  <c r="G111" i="1"/>
  <c r="G113" i="1"/>
  <c r="G143" i="1"/>
  <c r="F150" i="1"/>
  <c r="I160" i="1"/>
  <c r="G227" i="1"/>
  <c r="G229" i="1"/>
  <c r="I243" i="1"/>
  <c r="L243" i="1" s="1"/>
  <c r="M243" i="1" s="1"/>
  <c r="I251" i="1"/>
  <c r="G263" i="1"/>
  <c r="I163" i="1"/>
  <c r="I180" i="1"/>
  <c r="L180" i="1" s="1"/>
  <c r="M180" i="1" s="1"/>
  <c r="G185" i="1"/>
  <c r="I85" i="1"/>
  <c r="J85" i="1" s="1"/>
  <c r="I91" i="1"/>
  <c r="G104" i="1"/>
  <c r="I111" i="1"/>
  <c r="L111" i="1" s="1"/>
  <c r="M111" i="1" s="1"/>
  <c r="L143" i="1"/>
  <c r="M143" i="1" s="1"/>
  <c r="I177" i="1"/>
  <c r="L177" i="1" s="1"/>
  <c r="M177" i="1" s="1"/>
  <c r="I227" i="1"/>
  <c r="I263" i="1"/>
  <c r="G72" i="1"/>
  <c r="G81" i="1"/>
  <c r="L252" i="1"/>
  <c r="M252" i="1" s="1"/>
  <c r="F7" i="1"/>
  <c r="G7" i="1" s="1"/>
  <c r="G19" i="1"/>
  <c r="G46" i="1"/>
  <c r="G66" i="1"/>
  <c r="G68" i="1"/>
  <c r="L70" i="1"/>
  <c r="M70" i="1" s="1"/>
  <c r="G77" i="1"/>
  <c r="F132" i="1"/>
  <c r="G144" i="1"/>
  <c r="I151" i="1"/>
  <c r="L151" i="1" s="1"/>
  <c r="G161" i="1"/>
  <c r="I197" i="1"/>
  <c r="L197" i="1" s="1"/>
  <c r="M197" i="1" s="1"/>
  <c r="G205" i="1"/>
  <c r="I211" i="1"/>
  <c r="G213" i="1"/>
  <c r="G216" i="1"/>
  <c r="J55" i="1"/>
  <c r="G124" i="1"/>
  <c r="I221" i="1"/>
  <c r="J256" i="1"/>
  <c r="I19" i="1"/>
  <c r="J19" i="1" s="1"/>
  <c r="I46" i="1"/>
  <c r="L46" i="1" s="1"/>
  <c r="M46" i="1" s="1"/>
  <c r="G86" i="1"/>
  <c r="G88" i="1"/>
  <c r="G90" i="1"/>
  <c r="I105" i="1"/>
  <c r="L105" i="1" s="1"/>
  <c r="M105" i="1" s="1"/>
  <c r="I135" i="1"/>
  <c r="G137" i="1"/>
  <c r="I144" i="1"/>
  <c r="I161" i="1"/>
  <c r="L161" i="1" s="1"/>
  <c r="M161" i="1" s="1"/>
  <c r="I205" i="1"/>
  <c r="J205" i="1" s="1"/>
  <c r="G207" i="1"/>
  <c r="I213" i="1"/>
  <c r="I216" i="1"/>
  <c r="L216" i="1" s="1"/>
  <c r="M216" i="1" s="1"/>
  <c r="G242" i="1"/>
  <c r="F24" i="1"/>
  <c r="G24" i="1" s="1"/>
  <c r="I40" i="1"/>
  <c r="L40" i="1" s="1"/>
  <c r="J43" i="1"/>
  <c r="I90" i="1"/>
  <c r="L90" i="1" s="1"/>
  <c r="I137" i="1"/>
  <c r="L169" i="1"/>
  <c r="M169" i="1" s="1"/>
  <c r="I181" i="1"/>
  <c r="I207" i="1"/>
  <c r="L207" i="1" s="1"/>
  <c r="I270" i="1"/>
  <c r="L270" i="1" s="1"/>
  <c r="M270" i="1" s="1"/>
  <c r="G260" i="1"/>
  <c r="G192" i="1"/>
  <c r="G211" i="1"/>
  <c r="G27" i="1"/>
  <c r="L54" i="1"/>
  <c r="M54" i="1" s="1"/>
  <c r="I59" i="1"/>
  <c r="I62" i="1"/>
  <c r="L62" i="1" s="1"/>
  <c r="M62" i="1" s="1"/>
  <c r="G65" i="1"/>
  <c r="I84" i="1"/>
  <c r="J84" i="1" s="1"/>
  <c r="I100" i="1"/>
  <c r="L100" i="1" s="1"/>
  <c r="J257" i="1"/>
  <c r="J27" i="1"/>
  <c r="J65" i="1"/>
  <c r="G71" i="1"/>
  <c r="G120" i="1"/>
  <c r="G141" i="1"/>
  <c r="I162" i="1"/>
  <c r="I168" i="1"/>
  <c r="G191" i="1"/>
  <c r="G193" i="1"/>
  <c r="G201" i="1"/>
  <c r="J232" i="1"/>
  <c r="G237" i="1"/>
  <c r="I245" i="1"/>
  <c r="L245" i="1" s="1"/>
  <c r="M245" i="1" s="1"/>
  <c r="L253" i="1"/>
  <c r="M253" i="1" s="1"/>
  <c r="I264" i="1"/>
  <c r="G78" i="1"/>
  <c r="G184" i="1"/>
  <c r="I193" i="1"/>
  <c r="L193" i="1" s="1"/>
  <c r="M193" i="1" s="1"/>
  <c r="G208" i="1"/>
  <c r="G210" i="1"/>
  <c r="G225" i="1"/>
  <c r="I255" i="1"/>
  <c r="I154" i="1"/>
  <c r="L154" i="1" s="1"/>
  <c r="I25" i="1"/>
  <c r="J25" i="1" s="1"/>
  <c r="G47" i="1"/>
  <c r="F67" i="1"/>
  <c r="G67" i="1" s="1"/>
  <c r="I76" i="1"/>
  <c r="J153" i="1"/>
  <c r="J155" i="1"/>
  <c r="G160" i="1"/>
  <c r="I212" i="1"/>
  <c r="I268" i="1"/>
  <c r="L268" i="1" s="1"/>
  <c r="M268" i="1" s="1"/>
  <c r="J12" i="1"/>
  <c r="I11" i="1"/>
  <c r="L12" i="1"/>
  <c r="G132" i="1"/>
  <c r="G12" i="1"/>
  <c r="J13" i="1"/>
  <c r="F14" i="1"/>
  <c r="I16" i="1"/>
  <c r="I29" i="1"/>
  <c r="F28" i="1"/>
  <c r="G28" i="1" s="1"/>
  <c r="G29" i="1"/>
  <c r="L47" i="1"/>
  <c r="M47" i="1" s="1"/>
  <c r="J47" i="1"/>
  <c r="G15" i="1"/>
  <c r="I22" i="1"/>
  <c r="I31" i="1"/>
  <c r="I53" i="1"/>
  <c r="I64" i="1"/>
  <c r="J68" i="1"/>
  <c r="I15" i="1"/>
  <c r="G57" i="1"/>
  <c r="G74" i="1"/>
  <c r="J79" i="1"/>
  <c r="I83" i="1"/>
  <c r="G83" i="1"/>
  <c r="M133" i="1"/>
  <c r="L147" i="1"/>
  <c r="J147" i="1"/>
  <c r="L74" i="1"/>
  <c r="M74" i="1" s="1"/>
  <c r="I101" i="1"/>
  <c r="G101" i="1"/>
  <c r="I119" i="1"/>
  <c r="G119" i="1"/>
  <c r="G123" i="1"/>
  <c r="I123" i="1"/>
  <c r="I125" i="1"/>
  <c r="G125" i="1"/>
  <c r="F17" i="1"/>
  <c r="G17" i="1" s="1"/>
  <c r="G9" i="1"/>
  <c r="I18" i="1"/>
  <c r="L19" i="1"/>
  <c r="M19" i="1" s="1"/>
  <c r="I21" i="1"/>
  <c r="G32" i="1"/>
  <c r="I48" i="1"/>
  <c r="G48" i="1"/>
  <c r="I69" i="1"/>
  <c r="I80" i="1"/>
  <c r="I117" i="1"/>
  <c r="J121" i="1"/>
  <c r="I134" i="1"/>
  <c r="I142" i="1"/>
  <c r="G142" i="1"/>
  <c r="G21" i="1"/>
  <c r="J32" i="1"/>
  <c r="L37" i="1"/>
  <c r="J37" i="1"/>
  <c r="J90" i="1"/>
  <c r="I95" i="1"/>
  <c r="F93" i="1"/>
  <c r="G95" i="1"/>
  <c r="G98" i="1"/>
  <c r="F96" i="1"/>
  <c r="G96" i="1" s="1"/>
  <c r="I136" i="1"/>
  <c r="G136" i="1"/>
  <c r="L148" i="1"/>
  <c r="M148" i="1" s="1"/>
  <c r="J148" i="1"/>
  <c r="L57" i="1"/>
  <c r="M57" i="1" s="1"/>
  <c r="J57" i="1"/>
  <c r="L30" i="1"/>
  <c r="M30" i="1" s="1"/>
  <c r="J30" i="1"/>
  <c r="L60" i="1"/>
  <c r="M60" i="1" s="1"/>
  <c r="J60" i="1"/>
  <c r="M90" i="1"/>
  <c r="L98" i="1"/>
  <c r="J98" i="1"/>
  <c r="I26" i="1"/>
  <c r="G43" i="1"/>
  <c r="I56" i="1"/>
  <c r="G56" i="1"/>
  <c r="G58" i="1"/>
  <c r="I63" i="1"/>
  <c r="L71" i="1"/>
  <c r="M71" i="1" s="1"/>
  <c r="J71" i="1"/>
  <c r="G102" i="1"/>
  <c r="J105" i="1"/>
  <c r="G139" i="1"/>
  <c r="L201" i="1"/>
  <c r="J201" i="1"/>
  <c r="G73" i="1"/>
  <c r="I75" i="1"/>
  <c r="I82" i="1"/>
  <c r="G82" i="1"/>
  <c r="L102" i="1"/>
  <c r="M102" i="1" s="1"/>
  <c r="J102" i="1"/>
  <c r="L139" i="1"/>
  <c r="M139" i="1" s="1"/>
  <c r="J139" i="1"/>
  <c r="I246" i="1"/>
  <c r="G246" i="1"/>
  <c r="F11" i="1"/>
  <c r="I41" i="1"/>
  <c r="F39" i="1"/>
  <c r="G39" i="1" s="1"/>
  <c r="M49" i="1"/>
  <c r="L58" i="1"/>
  <c r="M58" i="1" s="1"/>
  <c r="G75" i="1"/>
  <c r="L88" i="1"/>
  <c r="M88" i="1" s="1"/>
  <c r="J88" i="1"/>
  <c r="G149" i="1"/>
  <c r="I149" i="1"/>
  <c r="I33" i="1"/>
  <c r="G33" i="1"/>
  <c r="G35" i="1"/>
  <c r="G38" i="1"/>
  <c r="M68" i="1"/>
  <c r="L77" i="1"/>
  <c r="M77" i="1" s="1"/>
  <c r="J77" i="1"/>
  <c r="L86" i="1"/>
  <c r="M86" i="1" s="1"/>
  <c r="I116" i="1"/>
  <c r="G116" i="1"/>
  <c r="J118" i="1"/>
  <c r="I122" i="1"/>
  <c r="G122" i="1"/>
  <c r="I159" i="1"/>
  <c r="I222" i="1"/>
  <c r="G222" i="1"/>
  <c r="F220" i="1"/>
  <c r="L236" i="1"/>
  <c r="M236" i="1" s="1"/>
  <c r="J236" i="1"/>
  <c r="I73" i="1"/>
  <c r="G31" i="1"/>
  <c r="I35" i="1"/>
  <c r="I38" i="1"/>
  <c r="I36" i="1" s="1"/>
  <c r="G53" i="1"/>
  <c r="J100" i="1"/>
  <c r="L104" i="1"/>
  <c r="J104" i="1"/>
  <c r="I103" i="1"/>
  <c r="J103" i="1" s="1"/>
  <c r="F109" i="1"/>
  <c r="I110" i="1"/>
  <c r="G114" i="1"/>
  <c r="I114" i="1"/>
  <c r="F112" i="1"/>
  <c r="G112" i="1" s="1"/>
  <c r="L120" i="1"/>
  <c r="M120" i="1" s="1"/>
  <c r="J120" i="1"/>
  <c r="I140" i="1"/>
  <c r="G140" i="1"/>
  <c r="J171" i="1"/>
  <c r="L171" i="1"/>
  <c r="M171" i="1" s="1"/>
  <c r="G158" i="1"/>
  <c r="G156" i="1" s="1"/>
  <c r="I172" i="1"/>
  <c r="G172" i="1"/>
  <c r="L266" i="1"/>
  <c r="M266" i="1" s="1"/>
  <c r="J266" i="1"/>
  <c r="F99" i="1"/>
  <c r="G99" i="1" s="1"/>
  <c r="L113" i="1"/>
  <c r="J113" i="1"/>
  <c r="J133" i="1"/>
  <c r="I138" i="1"/>
  <c r="G154" i="1"/>
  <c r="I158" i="1"/>
  <c r="I170" i="1"/>
  <c r="G170" i="1"/>
  <c r="L239" i="1"/>
  <c r="J239" i="1"/>
  <c r="L185" i="1"/>
  <c r="M185" i="1" s="1"/>
  <c r="J185" i="1"/>
  <c r="L192" i="1"/>
  <c r="M192" i="1" s="1"/>
  <c r="J192" i="1"/>
  <c r="G115" i="1"/>
  <c r="G118" i="1"/>
  <c r="G59" i="1"/>
  <c r="L137" i="1"/>
  <c r="M137" i="1" s="1"/>
  <c r="J137" i="1"/>
  <c r="L157" i="1"/>
  <c r="J157" i="1"/>
  <c r="I182" i="1"/>
  <c r="G182" i="1"/>
  <c r="M207" i="1"/>
  <c r="I214" i="1"/>
  <c r="G214" i="1"/>
  <c r="G261" i="1"/>
  <c r="I196" i="1"/>
  <c r="G196" i="1"/>
  <c r="F200" i="1"/>
  <c r="G203" i="1"/>
  <c r="J207" i="1"/>
  <c r="G236" i="1"/>
  <c r="M248" i="1"/>
  <c r="I176" i="1"/>
  <c r="G176" i="1"/>
  <c r="I198" i="1"/>
  <c r="I203" i="1"/>
  <c r="F234" i="1"/>
  <c r="G234" i="1" s="1"/>
  <c r="J242" i="1"/>
  <c r="J248" i="1"/>
  <c r="L260" i="1"/>
  <c r="M260" i="1" s="1"/>
  <c r="J260" i="1"/>
  <c r="I276" i="1"/>
  <c r="L179" i="1"/>
  <c r="M179" i="1" s="1"/>
  <c r="J179" i="1"/>
  <c r="L188" i="1"/>
  <c r="J188" i="1"/>
  <c r="I240" i="1"/>
  <c r="F238" i="1"/>
  <c r="G238" i="1" s="1"/>
  <c r="G240" i="1"/>
  <c r="I190" i="1"/>
  <c r="L231" i="1"/>
  <c r="I230" i="1"/>
  <c r="J230" i="1" s="1"/>
  <c r="G258" i="1"/>
  <c r="I265" i="1"/>
  <c r="I175" i="1"/>
  <c r="G175" i="1"/>
  <c r="G190" i="1"/>
  <c r="L210" i="1"/>
  <c r="J210" i="1"/>
  <c r="G217" i="1"/>
  <c r="J231" i="1"/>
  <c r="I215" i="1"/>
  <c r="G224" i="1"/>
  <c r="F223" i="1"/>
  <c r="F173" i="1"/>
  <c r="G173" i="1" s="1"/>
  <c r="L181" i="1"/>
  <c r="M181" i="1" s="1"/>
  <c r="J181" i="1"/>
  <c r="L184" i="1"/>
  <c r="M184" i="1" s="1"/>
  <c r="J195" i="1"/>
  <c r="I202" i="1"/>
  <c r="G204" i="1"/>
  <c r="G215" i="1"/>
  <c r="J217" i="1"/>
  <c r="I224" i="1"/>
  <c r="I241" i="1"/>
  <c r="G121" i="1"/>
  <c r="F146" i="1"/>
  <c r="G147" i="1"/>
  <c r="G146" i="1" s="1"/>
  <c r="G169" i="1"/>
  <c r="G171" i="1"/>
  <c r="I219" i="1"/>
  <c r="G266" i="1"/>
  <c r="I189" i="1"/>
  <c r="G189" i="1"/>
  <c r="F187" i="1"/>
  <c r="F186" i="1" s="1"/>
  <c r="I235" i="1"/>
  <c r="G235" i="1"/>
  <c r="M256" i="1"/>
  <c r="L255" i="1"/>
  <c r="I259" i="1"/>
  <c r="G259" i="1"/>
  <c r="G269" i="1"/>
  <c r="G271" i="1"/>
  <c r="F209" i="1"/>
  <c r="I271" i="1"/>
  <c r="I178" i="1"/>
  <c r="J245" i="1"/>
  <c r="G252" i="1"/>
  <c r="G253" i="1"/>
  <c r="G257" i="1"/>
  <c r="J262" i="1"/>
  <c r="AD179" i="2" l="1"/>
  <c r="AD172" i="2"/>
  <c r="Z178" i="2"/>
  <c r="Z168" i="2"/>
  <c r="AA175" i="2"/>
  <c r="AA176" i="2" s="1"/>
  <c r="AA178" i="2"/>
  <c r="AA168" i="2"/>
  <c r="AA207" i="2"/>
  <c r="W175" i="2"/>
  <c r="W176" i="2" s="1"/>
  <c r="W168" i="2"/>
  <c r="Z171" i="2"/>
  <c r="AF11" i="2"/>
  <c r="X207" i="2"/>
  <c r="X167" i="2"/>
  <c r="X164" i="2"/>
  <c r="X196" i="2" s="1"/>
  <c r="X197" i="2" s="1"/>
  <c r="AD161" i="2"/>
  <c r="AF137" i="2"/>
  <c r="AC145" i="2"/>
  <c r="AF131" i="2"/>
  <c r="AF129" i="2"/>
  <c r="AF35" i="2"/>
  <c r="AF27" i="2"/>
  <c r="AA171" i="2"/>
  <c r="W164" i="2"/>
  <c r="W196" i="2" s="1"/>
  <c r="AB164" i="2"/>
  <c r="AB196" i="2" s="1"/>
  <c r="AB197" i="2" s="1"/>
  <c r="AF125" i="2"/>
  <c r="AF113" i="2"/>
  <c r="AF105" i="2"/>
  <c r="AF77" i="2"/>
  <c r="Y145" i="2"/>
  <c r="Z161" i="2"/>
  <c r="AF67" i="2"/>
  <c r="AF15" i="2"/>
  <c r="AE194" i="2"/>
  <c r="AE208" i="2" s="1"/>
  <c r="AE168" i="2"/>
  <c r="AE174" i="2"/>
  <c r="Z194" i="2"/>
  <c r="Z208" i="2" s="1"/>
  <c r="AC191" i="2"/>
  <c r="AC194" i="2" s="1"/>
  <c r="AC208" i="2" s="1"/>
  <c r="AF55" i="2"/>
  <c r="AB151" i="2"/>
  <c r="AF160" i="2"/>
  <c r="AF17" i="2"/>
  <c r="AF57" i="2"/>
  <c r="AF147" i="2"/>
  <c r="Y167" i="2"/>
  <c r="AE143" i="2"/>
  <c r="AE207" i="2" s="1"/>
  <c r="AD143" i="2"/>
  <c r="AD207" i="2" s="1"/>
  <c r="AF157" i="2"/>
  <c r="AD149" i="2"/>
  <c r="AB149" i="2"/>
  <c r="AE149" i="2"/>
  <c r="AC149" i="2"/>
  <c r="AF141" i="2"/>
  <c r="AD167" i="2"/>
  <c r="AF65" i="2"/>
  <c r="AF148" i="2"/>
  <c r="Y161" i="2"/>
  <c r="AF161" i="2" s="1"/>
  <c r="AF101" i="2"/>
  <c r="AF81" i="2"/>
  <c r="AF45" i="2"/>
  <c r="AA161" i="2"/>
  <c r="AB161" i="2"/>
  <c r="AB194" i="2"/>
  <c r="AB208" i="2" s="1"/>
  <c r="AF163" i="2"/>
  <c r="AB167" i="2"/>
  <c r="AD151" i="2"/>
  <c r="AF29" i="2"/>
  <c r="AF13" i="2"/>
  <c r="AF73" i="2"/>
  <c r="AF142" i="2"/>
  <c r="AF206" i="2" s="1"/>
  <c r="AF51" i="2"/>
  <c r="Y151" i="2"/>
  <c r="AE172" i="2"/>
  <c r="AC161" i="2"/>
  <c r="AB171" i="2"/>
  <c r="V208" i="2"/>
  <c r="AI166" i="2"/>
  <c r="AF174" i="2"/>
  <c r="AC171" i="2"/>
  <c r="AC175" i="2" s="1"/>
  <c r="AC176" i="2" s="1"/>
  <c r="Z145" i="2"/>
  <c r="Z207" i="2" s="1"/>
  <c r="AC178" i="2"/>
  <c r="AF53" i="2"/>
  <c r="Y194" i="2"/>
  <c r="Y208" i="2" s="1"/>
  <c r="AA194" i="2"/>
  <c r="AA208" i="2" s="1"/>
  <c r="Y153" i="2"/>
  <c r="AF153" i="2" s="1"/>
  <c r="AF152" i="2"/>
  <c r="V164" i="2"/>
  <c r="V196" i="2" s="1"/>
  <c r="V207" i="2"/>
  <c r="V209" i="2" s="1"/>
  <c r="V167" i="2"/>
  <c r="AB207" i="2"/>
  <c r="AD206" i="2"/>
  <c r="AC206" i="2"/>
  <c r="AB206" i="2"/>
  <c r="U164" i="2"/>
  <c r="AA206" i="2"/>
  <c r="Z206" i="2"/>
  <c r="Y206" i="2"/>
  <c r="AE206" i="2"/>
  <c r="U167" i="2"/>
  <c r="X206" i="2"/>
  <c r="X209" i="2" s="1"/>
  <c r="AF183" i="2"/>
  <c r="X194" i="2"/>
  <c r="X208" i="2" s="1"/>
  <c r="AE167" i="2"/>
  <c r="AF127" i="2"/>
  <c r="AF119" i="2"/>
  <c r="AF111" i="2"/>
  <c r="AF103" i="2"/>
  <c r="AF95" i="2"/>
  <c r="AF87" i="2"/>
  <c r="AF79" i="2"/>
  <c r="X171" i="2"/>
  <c r="AF71" i="2"/>
  <c r="AB153" i="2"/>
  <c r="Y149" i="2"/>
  <c r="AF149" i="2" s="1"/>
  <c r="AE191" i="2"/>
  <c r="AD191" i="2"/>
  <c r="AA145" i="2"/>
  <c r="AA164" i="2" s="1"/>
  <c r="AA196" i="2" s="1"/>
  <c r="AA197" i="2" s="1"/>
  <c r="AD194" i="2"/>
  <c r="AD208" i="2" s="1"/>
  <c r="Y171" i="2"/>
  <c r="AC143" i="2"/>
  <c r="AC164" i="2" s="1"/>
  <c r="AC196" i="2" s="1"/>
  <c r="AC197" i="2" s="1"/>
  <c r="J180" i="1"/>
  <c r="J94" i="1"/>
  <c r="L206" i="1"/>
  <c r="L233" i="1"/>
  <c r="M233" i="1" s="1"/>
  <c r="J255" i="1"/>
  <c r="I93" i="1"/>
  <c r="J93" i="1" s="1"/>
  <c r="J216" i="1"/>
  <c r="L205" i="1"/>
  <c r="M205" i="1" s="1"/>
  <c r="J62" i="1"/>
  <c r="J36" i="1"/>
  <c r="J46" i="1"/>
  <c r="J249" i="1"/>
  <c r="F199" i="1"/>
  <c r="I209" i="1"/>
  <c r="J209" i="1" s="1"/>
  <c r="M255" i="1"/>
  <c r="J107" i="1"/>
  <c r="J254" i="1"/>
  <c r="L174" i="1"/>
  <c r="M174" i="1" s="1"/>
  <c r="L84" i="1"/>
  <c r="M84" i="1" s="1"/>
  <c r="J243" i="1"/>
  <c r="J34" i="1"/>
  <c r="G200" i="1"/>
  <c r="G52" i="1"/>
  <c r="I247" i="1"/>
  <c r="J161" i="1"/>
  <c r="J197" i="1"/>
  <c r="J250" i="1"/>
  <c r="L267" i="1"/>
  <c r="M267" i="1" s="1"/>
  <c r="J267" i="1"/>
  <c r="G187" i="1"/>
  <c r="G186" i="1" s="1"/>
  <c r="J40" i="1"/>
  <c r="J87" i="1"/>
  <c r="L87" i="1"/>
  <c r="M87" i="1" s="1"/>
  <c r="I145" i="1"/>
  <c r="L228" i="1"/>
  <c r="M228" i="1" s="1"/>
  <c r="G255" i="1"/>
  <c r="I39" i="1"/>
  <c r="J39" i="1" s="1"/>
  <c r="J96" i="1"/>
  <c r="J270" i="1"/>
  <c r="I206" i="1"/>
  <c r="J206" i="1" s="1"/>
  <c r="J193" i="1"/>
  <c r="J154" i="1"/>
  <c r="J263" i="1"/>
  <c r="I261" i="1"/>
  <c r="J261" i="1" s="1"/>
  <c r="L263" i="1"/>
  <c r="L160" i="1"/>
  <c r="M160" i="1" s="1"/>
  <c r="J160" i="1"/>
  <c r="I89" i="1"/>
  <c r="J89" i="1" s="1"/>
  <c r="J213" i="1"/>
  <c r="L213" i="1"/>
  <c r="M213" i="1" s="1"/>
  <c r="I226" i="1"/>
  <c r="J226" i="1" s="1"/>
  <c r="J227" i="1"/>
  <c r="L227" i="1"/>
  <c r="J163" i="1"/>
  <c r="L163" i="1"/>
  <c r="M163" i="1" s="1"/>
  <c r="G150" i="1"/>
  <c r="I24" i="1"/>
  <c r="J24" i="1" s="1"/>
  <c r="L85" i="1"/>
  <c r="M85" i="1" s="1"/>
  <c r="L76" i="1"/>
  <c r="M76" i="1" s="1"/>
  <c r="J76" i="1"/>
  <c r="J211" i="1"/>
  <c r="L211" i="1"/>
  <c r="M211" i="1" s="1"/>
  <c r="L251" i="1"/>
  <c r="J251" i="1"/>
  <c r="J177" i="1"/>
  <c r="J111" i="1"/>
  <c r="I112" i="1"/>
  <c r="J112" i="1" s="1"/>
  <c r="L212" i="1"/>
  <c r="M212" i="1" s="1"/>
  <c r="J212" i="1"/>
  <c r="L59" i="1"/>
  <c r="M59" i="1" s="1"/>
  <c r="J59" i="1"/>
  <c r="J268" i="1"/>
  <c r="I99" i="1"/>
  <c r="J99" i="1" s="1"/>
  <c r="G209" i="1"/>
  <c r="J264" i="1"/>
  <c r="L264" i="1"/>
  <c r="M264" i="1" s="1"/>
  <c r="L168" i="1"/>
  <c r="M168" i="1" s="1"/>
  <c r="J168" i="1"/>
  <c r="L144" i="1"/>
  <c r="M144" i="1" s="1"/>
  <c r="J144" i="1"/>
  <c r="F23" i="1"/>
  <c r="G23" i="1" s="1"/>
  <c r="L25" i="1"/>
  <c r="M25" i="1" s="1"/>
  <c r="L162" i="1"/>
  <c r="M162" i="1" s="1"/>
  <c r="J162" i="1"/>
  <c r="J8" i="1"/>
  <c r="L8" i="1"/>
  <c r="J135" i="1"/>
  <c r="L135" i="1"/>
  <c r="M135" i="1" s="1"/>
  <c r="I150" i="1"/>
  <c r="J150" i="1" s="1"/>
  <c r="J151" i="1"/>
  <c r="J91" i="1"/>
  <c r="L91" i="1"/>
  <c r="L244" i="1"/>
  <c r="M244" i="1" s="1"/>
  <c r="J244" i="1"/>
  <c r="L221" i="1"/>
  <c r="M221" i="1" s="1"/>
  <c r="J221" i="1"/>
  <c r="L224" i="1"/>
  <c r="J224" i="1"/>
  <c r="I223" i="1"/>
  <c r="J223" i="1" s="1"/>
  <c r="L134" i="1"/>
  <c r="J134" i="1"/>
  <c r="L276" i="1"/>
  <c r="M276" i="1" s="1"/>
  <c r="J276" i="1"/>
  <c r="J235" i="1"/>
  <c r="I234" i="1"/>
  <c r="J234" i="1" s="1"/>
  <c r="L235" i="1"/>
  <c r="J202" i="1"/>
  <c r="L202" i="1"/>
  <c r="M202" i="1" s="1"/>
  <c r="M113" i="1"/>
  <c r="J33" i="1"/>
  <c r="L33" i="1"/>
  <c r="M33" i="1" s="1"/>
  <c r="L48" i="1"/>
  <c r="M48" i="1" s="1"/>
  <c r="J48" i="1"/>
  <c r="J219" i="1"/>
  <c r="L219" i="1"/>
  <c r="G223" i="1"/>
  <c r="L265" i="1"/>
  <c r="M265" i="1" s="1"/>
  <c r="J265" i="1"/>
  <c r="J190" i="1"/>
  <c r="L190" i="1"/>
  <c r="M190" i="1" s="1"/>
  <c r="F167" i="1"/>
  <c r="G109" i="1"/>
  <c r="J53" i="1"/>
  <c r="I52" i="1"/>
  <c r="L53" i="1"/>
  <c r="I28" i="1"/>
  <c r="J28" i="1" s="1"/>
  <c r="L29" i="1"/>
  <c r="J29" i="1"/>
  <c r="M12" i="1"/>
  <c r="L11" i="1"/>
  <c r="G247" i="1"/>
  <c r="G93" i="1"/>
  <c r="F92" i="1"/>
  <c r="G92" i="1" s="1"/>
  <c r="J82" i="1"/>
  <c r="L82" i="1"/>
  <c r="M82" i="1" s="1"/>
  <c r="L95" i="1"/>
  <c r="M95" i="1" s="1"/>
  <c r="J95" i="1"/>
  <c r="J178" i="1"/>
  <c r="L178" i="1"/>
  <c r="M178" i="1" s="1"/>
  <c r="J198" i="1"/>
  <c r="L198" i="1"/>
  <c r="M198" i="1" s="1"/>
  <c r="M151" i="1"/>
  <c r="L150" i="1"/>
  <c r="L22" i="1"/>
  <c r="M22" i="1" s="1"/>
  <c r="J22" i="1"/>
  <c r="L271" i="1"/>
  <c r="J271" i="1"/>
  <c r="I269" i="1"/>
  <c r="J269" i="1" s="1"/>
  <c r="L189" i="1"/>
  <c r="M189" i="1" s="1"/>
  <c r="J189" i="1"/>
  <c r="L125" i="1"/>
  <c r="M125" i="1" s="1"/>
  <c r="J125" i="1"/>
  <c r="I187" i="1"/>
  <c r="M188" i="1"/>
  <c r="L182" i="1"/>
  <c r="M182" i="1" s="1"/>
  <c r="J182" i="1"/>
  <c r="L73" i="1"/>
  <c r="M73" i="1" s="1"/>
  <c r="J73" i="1"/>
  <c r="G11" i="1"/>
  <c r="F10" i="1"/>
  <c r="M201" i="1"/>
  <c r="M40" i="1"/>
  <c r="J15" i="1"/>
  <c r="L15" i="1"/>
  <c r="I14" i="1"/>
  <c r="J14" i="1" s="1"/>
  <c r="L31" i="1"/>
  <c r="M31" i="1" s="1"/>
  <c r="J31" i="1"/>
  <c r="L16" i="1"/>
  <c r="M16" i="1" s="1"/>
  <c r="J16" i="1"/>
  <c r="J11" i="1"/>
  <c r="J215" i="1"/>
  <c r="L215" i="1"/>
  <c r="M215" i="1" s="1"/>
  <c r="J158" i="1"/>
  <c r="L158" i="1"/>
  <c r="J26" i="1"/>
  <c r="L26" i="1"/>
  <c r="M26" i="1" s="1"/>
  <c r="J259" i="1"/>
  <c r="I258" i="1"/>
  <c r="J258" i="1" s="1"/>
  <c r="L259" i="1"/>
  <c r="I156" i="1"/>
  <c r="F145" i="1"/>
  <c r="J240" i="1"/>
  <c r="L240" i="1"/>
  <c r="M240" i="1" s="1"/>
  <c r="I238" i="1"/>
  <c r="J238" i="1" s="1"/>
  <c r="L75" i="1"/>
  <c r="M75" i="1" s="1"/>
  <c r="J75" i="1"/>
  <c r="L80" i="1"/>
  <c r="M80" i="1" s="1"/>
  <c r="J80" i="1"/>
  <c r="I132" i="1"/>
  <c r="M100" i="1"/>
  <c r="L122" i="1"/>
  <c r="M122" i="1" s="1"/>
  <c r="J122" i="1"/>
  <c r="L117" i="1"/>
  <c r="M117" i="1" s="1"/>
  <c r="J117" i="1"/>
  <c r="L18" i="1"/>
  <c r="J18" i="1"/>
  <c r="I17" i="1"/>
  <c r="J17" i="1" s="1"/>
  <c r="F6" i="1"/>
  <c r="G6" i="1" s="1"/>
  <c r="J247" i="1"/>
  <c r="J140" i="1"/>
  <c r="L140" i="1"/>
  <c r="M140" i="1" s="1"/>
  <c r="L138" i="1"/>
  <c r="M138" i="1" s="1"/>
  <c r="J138" i="1"/>
  <c r="L149" i="1"/>
  <c r="M149" i="1" s="1"/>
  <c r="J149" i="1"/>
  <c r="L63" i="1"/>
  <c r="M63" i="1" s="1"/>
  <c r="J63" i="1"/>
  <c r="M239" i="1"/>
  <c r="L69" i="1"/>
  <c r="J69" i="1"/>
  <c r="I67" i="1"/>
  <c r="J67" i="1" s="1"/>
  <c r="L119" i="1"/>
  <c r="M119" i="1" s="1"/>
  <c r="J119" i="1"/>
  <c r="L203" i="1"/>
  <c r="M203" i="1" s="1"/>
  <c r="J203" i="1"/>
  <c r="L196" i="1"/>
  <c r="M196" i="1" s="1"/>
  <c r="J196" i="1"/>
  <c r="L103" i="1"/>
  <c r="M103" i="1" s="1"/>
  <c r="M104" i="1"/>
  <c r="L246" i="1"/>
  <c r="M246" i="1" s="1"/>
  <c r="J246" i="1"/>
  <c r="M210" i="1"/>
  <c r="L83" i="1"/>
  <c r="M83" i="1" s="1"/>
  <c r="J83" i="1"/>
  <c r="J146" i="1"/>
  <c r="J136" i="1"/>
  <c r="L136" i="1"/>
  <c r="M136" i="1" s="1"/>
  <c r="L146" i="1"/>
  <c r="M147" i="1"/>
  <c r="L176" i="1"/>
  <c r="M176" i="1" s="1"/>
  <c r="J176" i="1"/>
  <c r="L114" i="1"/>
  <c r="M114" i="1" s="1"/>
  <c r="J114" i="1"/>
  <c r="G220" i="1"/>
  <c r="F218" i="1"/>
  <c r="L56" i="1"/>
  <c r="M56" i="1" s="1"/>
  <c r="J56" i="1"/>
  <c r="M37" i="1"/>
  <c r="F44" i="1"/>
  <c r="G44" i="1" s="1"/>
  <c r="G45" i="1"/>
  <c r="G14" i="1"/>
  <c r="J7" i="1"/>
  <c r="I20" i="1"/>
  <c r="J20" i="1" s="1"/>
  <c r="L21" i="1"/>
  <c r="J21" i="1"/>
  <c r="J116" i="1"/>
  <c r="L116" i="1"/>
  <c r="M116" i="1" s="1"/>
  <c r="M154" i="1"/>
  <c r="M94" i="1"/>
  <c r="L93" i="1"/>
  <c r="L172" i="1"/>
  <c r="M172" i="1" s="1"/>
  <c r="J172" i="1"/>
  <c r="J159" i="1"/>
  <c r="L159" i="1"/>
  <c r="M159" i="1" s="1"/>
  <c r="L142" i="1"/>
  <c r="M142" i="1" s="1"/>
  <c r="J142" i="1"/>
  <c r="L230" i="1"/>
  <c r="M230" i="1" s="1"/>
  <c r="M231" i="1"/>
  <c r="M157" i="1"/>
  <c r="L123" i="1"/>
  <c r="M123" i="1" s="1"/>
  <c r="J123" i="1"/>
  <c r="L241" i="1"/>
  <c r="M241" i="1" s="1"/>
  <c r="J241" i="1"/>
  <c r="L38" i="1"/>
  <c r="M38" i="1" s="1"/>
  <c r="J38" i="1"/>
  <c r="I173" i="1"/>
  <c r="J173" i="1" s="1"/>
  <c r="L175" i="1"/>
  <c r="J175" i="1"/>
  <c r="L214" i="1"/>
  <c r="M214" i="1" s="1"/>
  <c r="J214" i="1"/>
  <c r="L170" i="1"/>
  <c r="J170" i="1"/>
  <c r="L110" i="1"/>
  <c r="I109" i="1"/>
  <c r="J109" i="1" s="1"/>
  <c r="J110" i="1"/>
  <c r="L35" i="1"/>
  <c r="M35" i="1" s="1"/>
  <c r="J35" i="1"/>
  <c r="J222" i="1"/>
  <c r="I220" i="1"/>
  <c r="J220" i="1" s="1"/>
  <c r="L222" i="1"/>
  <c r="J41" i="1"/>
  <c r="L41" i="1"/>
  <c r="M41" i="1" s="1"/>
  <c r="I200" i="1"/>
  <c r="L96" i="1"/>
  <c r="M96" i="1" s="1"/>
  <c r="M98" i="1"/>
  <c r="L101" i="1"/>
  <c r="M101" i="1" s="1"/>
  <c r="J101" i="1"/>
  <c r="L64" i="1"/>
  <c r="M64" i="1" s="1"/>
  <c r="J64" i="1"/>
  <c r="Z164" i="2" l="1"/>
  <c r="Z196" i="2" s="1"/>
  <c r="Z197" i="2" s="1"/>
  <c r="X179" i="2"/>
  <c r="AF171" i="2"/>
  <c r="AI171" i="2" s="1"/>
  <c r="X172" i="2"/>
  <c r="AF194" i="2"/>
  <c r="AF208" i="2" s="1"/>
  <c r="V175" i="2"/>
  <c r="V176" i="2" s="1"/>
  <c r="V168" i="2"/>
  <c r="AD164" i="2"/>
  <c r="AD196" i="2" s="1"/>
  <c r="AD197" i="2" s="1"/>
  <c r="Y179" i="2"/>
  <c r="Y172" i="2"/>
  <c r="U175" i="2"/>
  <c r="U176" i="2" s="1"/>
  <c r="U168" i="2"/>
  <c r="W212" i="2"/>
  <c r="AE209" i="2"/>
  <c r="Y207" i="2"/>
  <c r="Y209" i="2" s="1"/>
  <c r="W197" i="2"/>
  <c r="W199" i="2"/>
  <c r="W201" i="2" s="1"/>
  <c r="AF207" i="2"/>
  <c r="AF209" i="2" s="1"/>
  <c r="AB179" i="2"/>
  <c r="AB172" i="2"/>
  <c r="AB168" i="2"/>
  <c r="AB178" i="2"/>
  <c r="AB175" i="2"/>
  <c r="AB176" i="2" s="1"/>
  <c r="Y164" i="2"/>
  <c r="Y196" i="2" s="1"/>
  <c r="Y197" i="2" s="1"/>
  <c r="AA179" i="2"/>
  <c r="AA172" i="2"/>
  <c r="Z179" i="2"/>
  <c r="Z172" i="2"/>
  <c r="AA209" i="2"/>
  <c r="Z175" i="2"/>
  <c r="Z176" i="2" s="1"/>
  <c r="AE164" i="2"/>
  <c r="AE196" i="2" s="1"/>
  <c r="AB209" i="2"/>
  <c r="AF143" i="2"/>
  <c r="AF164" i="2" s="1"/>
  <c r="AF196" i="2" s="1"/>
  <c r="AF191" i="2"/>
  <c r="AC179" i="2"/>
  <c r="AC172" i="2"/>
  <c r="V197" i="2"/>
  <c r="V199" i="2"/>
  <c r="V201" i="2" s="1"/>
  <c r="AI174" i="2"/>
  <c r="X178" i="2"/>
  <c r="AF167" i="2"/>
  <c r="X175" i="2"/>
  <c r="X176" i="2" s="1"/>
  <c r="X168" i="2"/>
  <c r="Y175" i="2"/>
  <c r="Y176" i="2" s="1"/>
  <c r="Y178" i="2"/>
  <c r="Y168" i="2"/>
  <c r="Z209" i="2"/>
  <c r="AD175" i="2"/>
  <c r="AD176" i="2" s="1"/>
  <c r="AD178" i="2"/>
  <c r="AD168" i="2"/>
  <c r="AE175" i="2"/>
  <c r="AE176" i="2" s="1"/>
  <c r="AE178" i="2"/>
  <c r="AC209" i="2"/>
  <c r="AC207" i="2"/>
  <c r="AD209" i="2"/>
  <c r="AF151" i="2"/>
  <c r="AF145" i="2"/>
  <c r="J145" i="1"/>
  <c r="G199" i="1"/>
  <c r="I23" i="1"/>
  <c r="J23" i="1" s="1"/>
  <c r="F108" i="1"/>
  <c r="L209" i="1"/>
  <c r="M209" i="1" s="1"/>
  <c r="I92" i="1"/>
  <c r="J92" i="1" s="1"/>
  <c r="L36" i="1"/>
  <c r="M36" i="1" s="1"/>
  <c r="M263" i="1"/>
  <c r="L261" i="1"/>
  <c r="M261" i="1" s="1"/>
  <c r="M150" i="1"/>
  <c r="L24" i="1"/>
  <c r="M24" i="1" s="1"/>
  <c r="M206" i="1"/>
  <c r="M91" i="1"/>
  <c r="L89" i="1"/>
  <c r="M89" i="1" s="1"/>
  <c r="M8" i="1"/>
  <c r="L7" i="1"/>
  <c r="M7" i="1" s="1"/>
  <c r="M251" i="1"/>
  <c r="L247" i="1"/>
  <c r="M247" i="1" s="1"/>
  <c r="M227" i="1"/>
  <c r="L226" i="1"/>
  <c r="M226" i="1" s="1"/>
  <c r="M158" i="1"/>
  <c r="J156" i="1"/>
  <c r="L39" i="1"/>
  <c r="M39" i="1" s="1"/>
  <c r="J200" i="1"/>
  <c r="I199" i="1"/>
  <c r="J199" i="1" s="1"/>
  <c r="M170" i="1"/>
  <c r="M134" i="1"/>
  <c r="L132" i="1"/>
  <c r="M110" i="1"/>
  <c r="L109" i="1"/>
  <c r="M109" i="1" s="1"/>
  <c r="J132" i="1"/>
  <c r="M259" i="1"/>
  <c r="L258" i="1"/>
  <c r="M258" i="1" s="1"/>
  <c r="L99" i="1"/>
  <c r="M99" i="1" s="1"/>
  <c r="L187" i="1"/>
  <c r="M222" i="1"/>
  <c r="L220" i="1"/>
  <c r="M220" i="1" s="1"/>
  <c r="L145" i="1"/>
  <c r="M145" i="1" s="1"/>
  <c r="M146" i="1"/>
  <c r="L200" i="1"/>
  <c r="J187" i="1"/>
  <c r="I186" i="1"/>
  <c r="J186" i="1" s="1"/>
  <c r="M235" i="1"/>
  <c r="L234" i="1"/>
  <c r="M234" i="1" s="1"/>
  <c r="M219" i="1"/>
  <c r="I10" i="1"/>
  <c r="J10" i="1" s="1"/>
  <c r="L156" i="1"/>
  <c r="M69" i="1"/>
  <c r="L67" i="1"/>
  <c r="M67" i="1" s="1"/>
  <c r="G10" i="1"/>
  <c r="M11" i="1"/>
  <c r="I218" i="1"/>
  <c r="J218" i="1" s="1"/>
  <c r="G108" i="1"/>
  <c r="F126" i="1"/>
  <c r="L238" i="1"/>
  <c r="M238" i="1" s="1"/>
  <c r="M271" i="1"/>
  <c r="L269" i="1"/>
  <c r="M269" i="1" s="1"/>
  <c r="M29" i="1"/>
  <c r="L28" i="1"/>
  <c r="M28" i="1" s="1"/>
  <c r="M175" i="1"/>
  <c r="L173" i="1"/>
  <c r="M173" i="1" s="1"/>
  <c r="M93" i="1"/>
  <c r="G167" i="1"/>
  <c r="G152" i="1" s="1"/>
  <c r="F152" i="1"/>
  <c r="F275" i="1" s="1"/>
  <c r="M53" i="1"/>
  <c r="L52" i="1"/>
  <c r="M21" i="1"/>
  <c r="L20" i="1"/>
  <c r="M20" i="1" s="1"/>
  <c r="M15" i="1"/>
  <c r="L14" i="1"/>
  <c r="J52" i="1"/>
  <c r="I45" i="1"/>
  <c r="M224" i="1"/>
  <c r="L223" i="1"/>
  <c r="M223" i="1" s="1"/>
  <c r="G218" i="1"/>
  <c r="M18" i="1"/>
  <c r="L17" i="1"/>
  <c r="M17" i="1" s="1"/>
  <c r="L112" i="1"/>
  <c r="M112" i="1" s="1"/>
  <c r="I167" i="1"/>
  <c r="J167" i="1" s="1"/>
  <c r="I6" i="1"/>
  <c r="J6" i="1" s="1"/>
  <c r="G145" i="1"/>
  <c r="AF172" i="2" l="1"/>
  <c r="AI172" i="2" s="1"/>
  <c r="AF168" i="2"/>
  <c r="AI168" i="2" s="1"/>
  <c r="AF175" i="2"/>
  <c r="AI167" i="2"/>
  <c r="L10" i="1"/>
  <c r="M10" i="1" s="1"/>
  <c r="L92" i="1"/>
  <c r="M92" i="1" s="1"/>
  <c r="L167" i="1"/>
  <c r="M167" i="1" s="1"/>
  <c r="F277" i="1"/>
  <c r="G277" i="1" s="1"/>
  <c r="G275" i="1"/>
  <c r="L45" i="1"/>
  <c r="M52" i="1"/>
  <c r="G126" i="1"/>
  <c r="L23" i="1"/>
  <c r="M23" i="1" s="1"/>
  <c r="M132" i="1"/>
  <c r="L199" i="1"/>
  <c r="M199" i="1" s="1"/>
  <c r="M200" i="1"/>
  <c r="M14" i="1"/>
  <c r="M187" i="1"/>
  <c r="L186" i="1"/>
  <c r="M186" i="1" s="1"/>
  <c r="L218" i="1"/>
  <c r="M218" i="1" s="1"/>
  <c r="M156" i="1"/>
  <c r="I44" i="1"/>
  <c r="J45" i="1"/>
  <c r="I152" i="1"/>
  <c r="L6" i="1"/>
  <c r="M6" i="1" s="1"/>
  <c r="AI175" i="2" l="1"/>
  <c r="AF176" i="2"/>
  <c r="AI176" i="2" s="1"/>
  <c r="L152" i="1"/>
  <c r="F278" i="1"/>
  <c r="G278" i="1" s="1"/>
  <c r="J152" i="1"/>
  <c r="I275" i="1"/>
  <c r="L44" i="1"/>
  <c r="M44" i="1" s="1"/>
  <c r="M45" i="1"/>
  <c r="J44" i="1"/>
  <c r="I108" i="1"/>
  <c r="M152" i="1" l="1"/>
  <c r="L275" i="1"/>
  <c r="L108" i="1"/>
  <c r="L126" i="1" s="1"/>
  <c r="I126" i="1"/>
  <c r="J108" i="1"/>
  <c r="I277" i="1"/>
  <c r="J277" i="1" s="1"/>
  <c r="J275" i="1"/>
  <c r="L277" i="1" l="1"/>
  <c r="M277" i="1" s="1"/>
  <c r="M275" i="1"/>
  <c r="M108" i="1"/>
  <c r="M126" i="1"/>
  <c r="J126" i="1"/>
  <c r="I278" i="1"/>
  <c r="L278" i="1" l="1"/>
  <c r="J278" i="1"/>
  <c r="M27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F43" authorId="0" shapeId="0" xr:uid="{3301FF92-0CCD-47A5-BB2A-A53BDB408714}">
      <text>
        <r>
          <rPr>
            <b/>
            <sz val="9"/>
            <color indexed="81"/>
            <rFont val="Tahoma"/>
            <family val="2"/>
            <charset val="186"/>
          </rPr>
          <t>Sarmīte Mūze:</t>
        </r>
        <r>
          <rPr>
            <sz val="9"/>
            <color indexed="81"/>
            <rFont val="Tahoma"/>
            <family val="2"/>
            <charset val="186"/>
          </rPr>
          <t xml:space="preserve">
76'000 mežaudze vai koki; 46'000+73'000 Kadaga.</t>
        </r>
      </text>
    </comment>
    <comment ref="I43" authorId="0" shapeId="0" xr:uid="{C6A214F3-3B1B-4FC0-B907-0397501004B7}">
      <text>
        <r>
          <rPr>
            <b/>
            <sz val="9"/>
            <color indexed="81"/>
            <rFont val="Tahoma"/>
            <family val="2"/>
            <charset val="186"/>
          </rPr>
          <t>Sarmīte Mūze:</t>
        </r>
        <r>
          <rPr>
            <sz val="9"/>
            <color indexed="81"/>
            <rFont val="Tahoma"/>
            <family val="2"/>
            <charset val="186"/>
          </rPr>
          <t xml:space="preserve">
76'000 mežaudze vai koki; 46'000+73'000 Kadaga.</t>
        </r>
      </text>
    </comment>
    <comment ref="L43" authorId="0" shapeId="0" xr:uid="{CA6EFF0F-E910-4259-A4B8-AEE861D0AF62}">
      <text>
        <r>
          <rPr>
            <b/>
            <sz val="9"/>
            <color indexed="81"/>
            <rFont val="Tahoma"/>
            <family val="2"/>
            <charset val="186"/>
          </rPr>
          <t>Sarmīte Mūze:</t>
        </r>
        <r>
          <rPr>
            <sz val="9"/>
            <color indexed="81"/>
            <rFont val="Tahoma"/>
            <family val="2"/>
            <charset val="186"/>
          </rPr>
          <t xml:space="preserve">
76'000 mežaudze vai koki; 46'000+73'000 Kadaga.</t>
        </r>
      </text>
    </comment>
    <comment ref="E268" authorId="0" shapeId="0" xr:uid="{2FD71088-EF51-4927-80C1-E02AE88D74A3}">
      <text>
        <r>
          <rPr>
            <b/>
            <sz val="9"/>
            <color indexed="81"/>
            <rFont val="Tahoma"/>
            <family val="2"/>
            <charset val="186"/>
          </rPr>
          <t>Sarmīte Mūze:</t>
        </r>
        <r>
          <rPr>
            <sz val="9"/>
            <color indexed="81"/>
            <rFont val="Tahoma"/>
            <family val="2"/>
            <charset val="186"/>
          </rPr>
          <t xml:space="preserve">
Šis ir jāizņem no 0930 un jāliek 0982 algā.
</t>
        </r>
      </text>
    </comment>
    <comment ref="F268" authorId="0" shapeId="0" xr:uid="{A5F998FE-B633-4642-81D8-FDA73652178E}">
      <text>
        <r>
          <rPr>
            <b/>
            <sz val="9"/>
            <color indexed="81"/>
            <rFont val="Tahoma"/>
            <family val="2"/>
            <charset val="186"/>
          </rPr>
          <t>Sarmīte Mūze:</t>
        </r>
        <r>
          <rPr>
            <sz val="9"/>
            <color indexed="81"/>
            <rFont val="Tahoma"/>
            <family val="2"/>
            <charset val="186"/>
          </rPr>
          <t xml:space="preserve">
Šis ir jāizņem no 0930 un jāliek 0982 algā.
</t>
        </r>
      </text>
    </comment>
    <comment ref="I268" authorId="0" shapeId="0" xr:uid="{C89B2976-E147-4534-8CD5-366688CC268A}">
      <text>
        <r>
          <rPr>
            <b/>
            <sz val="9"/>
            <color indexed="81"/>
            <rFont val="Tahoma"/>
            <family val="2"/>
            <charset val="186"/>
          </rPr>
          <t>Sarmīte Mūze:</t>
        </r>
        <r>
          <rPr>
            <sz val="9"/>
            <color indexed="81"/>
            <rFont val="Tahoma"/>
            <family val="2"/>
            <charset val="186"/>
          </rPr>
          <t xml:space="preserve">
Šis ir jāizņem no 0930 un jāliek 0982 algā.
</t>
        </r>
      </text>
    </comment>
    <comment ref="L268" authorId="0" shapeId="0" xr:uid="{79AE5861-0AED-4CDC-8F42-E94E157C4387}">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V28" authorId="0" shapeId="0" xr:uid="{41774994-75E2-464E-9FCC-81B5A15D443E}">
      <text>
        <r>
          <rPr>
            <b/>
            <sz val="9"/>
            <color indexed="81"/>
            <rFont val="Tahoma"/>
            <family val="2"/>
            <charset val="186"/>
          </rPr>
          <t>Sarmīte Mūze:</t>
        </r>
        <r>
          <rPr>
            <sz val="9"/>
            <color indexed="81"/>
            <rFont val="Tahoma"/>
            <family val="2"/>
            <charset val="186"/>
          </rPr>
          <t xml:space="preserve">
Atmaksā ERAF ienākošā nauda</t>
        </r>
      </text>
    </comment>
    <comment ref="I34" authorId="0" shapeId="0" xr:uid="{35A5249F-7EF1-42FF-90D6-87695101E747}">
      <text>
        <r>
          <rPr>
            <b/>
            <sz val="9"/>
            <color indexed="81"/>
            <rFont val="Tahoma"/>
            <family val="2"/>
            <charset val="186"/>
          </rPr>
          <t>Sarmīte Mūze:</t>
        </r>
        <r>
          <rPr>
            <sz val="9"/>
            <color indexed="81"/>
            <rFont val="Tahoma"/>
            <family val="2"/>
            <charset val="186"/>
          </rPr>
          <t xml:space="preserve">
EUR 236'297 ĀND daļa
</t>
        </r>
      </text>
    </comment>
    <comment ref="AE71" authorId="1" shapeId="0" xr:uid="{108C7C2A-807E-4989-991B-21FD4A61811C}">
      <text>
        <r>
          <rPr>
            <b/>
            <sz val="9"/>
            <color indexed="81"/>
            <rFont val="Tahoma"/>
            <family val="2"/>
            <charset val="186"/>
          </rPr>
          <t>Baiba Kanča:</t>
        </r>
        <r>
          <rPr>
            <sz val="9"/>
            <color indexed="81"/>
            <rFont val="Tahoma"/>
            <family val="2"/>
            <charset val="186"/>
          </rPr>
          <t xml:space="preserve">
samazinās uz pusi</t>
        </r>
      </text>
    </comment>
    <comment ref="AE73" authorId="1" shapeId="0" xr:uid="{690B212A-B843-4D60-9BE4-A4088458F0D3}">
      <text>
        <r>
          <rPr>
            <b/>
            <sz val="9"/>
            <color indexed="81"/>
            <rFont val="Tahoma"/>
            <family val="2"/>
            <charset val="186"/>
          </rPr>
          <t>Baiba Kanča:</t>
        </r>
        <r>
          <rPr>
            <sz val="9"/>
            <color indexed="81"/>
            <rFont val="Tahoma"/>
            <family val="2"/>
            <charset val="186"/>
          </rPr>
          <t xml:space="preserve">
samazinās uz pusi
</t>
        </r>
      </text>
    </comment>
    <comment ref="X138" authorId="0" shapeId="0" xr:uid="{4D1D1B77-F151-4FDF-BD0C-2C8A5301E6FA}">
      <text>
        <r>
          <rPr>
            <b/>
            <sz val="9"/>
            <color indexed="81"/>
            <rFont val="Tahoma"/>
            <family val="2"/>
            <charset val="186"/>
          </rPr>
          <t>Sarmīte Mūze:</t>
        </r>
        <r>
          <rPr>
            <sz val="9"/>
            <color indexed="81"/>
            <rFont val="Tahoma"/>
            <family val="2"/>
            <charset val="186"/>
          </rPr>
          <t xml:space="preserve">
Cost for Us (41.) atmaksāts 2021., bet 2023.bija atstāta atmaksa EUR 3648</t>
        </r>
      </text>
    </comment>
  </commentList>
</comments>
</file>

<file path=xl/sharedStrings.xml><?xml version="1.0" encoding="utf-8"?>
<sst xmlns="http://schemas.openxmlformats.org/spreadsheetml/2006/main" count="1528" uniqueCount="1056">
  <si>
    <t>Ādažu pašvaldības apvienotais budžets</t>
  </si>
  <si>
    <t>2023. gads</t>
  </si>
  <si>
    <t xml:space="preserve">Ieņēmumu daļa </t>
  </si>
  <si>
    <t xml:space="preserve">N.p.k. </t>
  </si>
  <si>
    <t>Sadaļa</t>
  </si>
  <si>
    <t>CKS</t>
  </si>
  <si>
    <t>2023. gada budžets</t>
  </si>
  <si>
    <t>23.03.2023. grozījumi</t>
  </si>
  <si>
    <t>Izmaiņa 23.03.2023. - 26.01.2023.</t>
  </si>
  <si>
    <t xml:space="preserve">Komentāri </t>
  </si>
  <si>
    <t>24.05.2023. grozījumi</t>
  </si>
  <si>
    <t>Izmaiņa 24.05.2023. -23.03.2023.</t>
  </si>
  <si>
    <t>28.06.2023. grozījumi</t>
  </si>
  <si>
    <t>Izmaiņa 28.06.2023. -24.05.2023.</t>
  </si>
  <si>
    <t>1., 2., 3., 4., 5.1.</t>
  </si>
  <si>
    <t>Nodokļu ieņēmumi</t>
  </si>
  <si>
    <t>1.1.1.0.</t>
  </si>
  <si>
    <t>1.</t>
  </si>
  <si>
    <t>Iedzīvotāju ienākuma nodoklis</t>
  </si>
  <si>
    <t>PB</t>
  </si>
  <si>
    <t>01.1.1.2.</t>
  </si>
  <si>
    <t>1.1.</t>
  </si>
  <si>
    <t>pārskata gada</t>
  </si>
  <si>
    <t>Precizēta summa apstiprinātajos MK Nr.191 11.04.2023</t>
  </si>
  <si>
    <t>1.2.</t>
  </si>
  <si>
    <t>saņemts no Valsts kases sadales konta iepriekšējā gada nesadalītais iedzīvotāju ienākuma nodokļa atlikums</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</si>
  <si>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</si>
  <si>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</si>
  <si>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</si>
  <si>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</si>
  <si>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</si>
  <si>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</si>
  <si>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</si>
  <si>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</si>
  <si>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</si>
  <si>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</si>
  <si>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</si>
  <si>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</si>
  <si>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</si>
  <si>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</si>
  <si>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</si>
  <si>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</si>
  <si>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</si>
  <si>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</si>
  <si>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</si>
  <si>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</si>
  <si>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</si>
  <si>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</si>
  <si>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</si>
  <si>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</si>
  <si>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</si>
  <si>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</si>
  <si>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</si>
  <si>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</si>
  <si>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</si>
  <si>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</si>
  <si>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</si>
  <si>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</si>
  <si>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</si>
  <si>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</si>
  <si>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</si>
  <si>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</si>
  <si>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</si>
  <si>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</si>
  <si>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</si>
  <si>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</si>
  <si>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</si>
  <si>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</si>
  <si>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</si>
  <si>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</si>
  <si>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</si>
  <si>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</si>
  <si>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</si>
  <si>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</si>
  <si>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</si>
  <si>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</si>
  <si>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</si>
  <si>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</si>
  <si>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</si>
  <si>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</si>
  <si>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</si>
  <si>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</si>
  <si>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</si>
  <si>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</si>
  <si>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</si>
  <si>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09.5.1.5.</t>
  </si>
  <si>
    <t>6.2.4.</t>
  </si>
  <si>
    <t>t.sk.: - nodeva par dzīvnieku turēšanu</t>
  </si>
  <si>
    <t>09.5.1.7.</t>
  </si>
  <si>
    <t>6.2.5.</t>
  </si>
  <si>
    <t>t.sk.: - nodeva par reklāmas, afišu un sludinājumu izvietošanu publiskās vietās</t>
  </si>
  <si>
    <t>09.5.2.1.</t>
  </si>
  <si>
    <t>6.2.6.</t>
  </si>
  <si>
    <t>t.sk.: - nodeva par būvatļaujas saņemšanu</t>
  </si>
  <si>
    <t>09.5.2.9.</t>
  </si>
  <si>
    <t>6.2.7.</t>
  </si>
  <si>
    <t>t.sk.: - pārējās nodevas</t>
  </si>
  <si>
    <t>10.0.0.0.</t>
  </si>
  <si>
    <t>7.</t>
  </si>
  <si>
    <t>Naudas sodi un sankcijas</t>
  </si>
  <si>
    <t>10.1.4.0.</t>
  </si>
  <si>
    <t>7.1.</t>
  </si>
  <si>
    <t>10.1.5.0.</t>
  </si>
  <si>
    <t>7.2.</t>
  </si>
  <si>
    <t>Naudas sodi, ko uzliek par pārkāpumiem ceļu satiksmē</t>
  </si>
  <si>
    <t>12.0.0.0.</t>
  </si>
  <si>
    <t>8.</t>
  </si>
  <si>
    <t>Pārējie nenodokļu ieņēmumi</t>
  </si>
  <si>
    <t>12.3.9.9.; 8.3.9.0.</t>
  </si>
  <si>
    <t>8.1.</t>
  </si>
  <si>
    <t>citi nenodokļu ieņēmumi</t>
  </si>
  <si>
    <t>SIA "Ādažu Namsaimnieks" dividendes, novirzīt caur 0950 izdevumi vidussk.apkures sist.pāreja uz atjaunoj.energoresursiem, Domes lēmums Nr.215.</t>
  </si>
  <si>
    <t>Ieņēmumi no apdrošināšanas prēmijas tiltam Carnikavā. (Liek CKS pie sevis)</t>
  </si>
  <si>
    <t>12.3.9.5.</t>
  </si>
  <si>
    <t>8.2.</t>
  </si>
  <si>
    <t>līgumsodi un procentu maksājumi par saistību neizpildi</t>
  </si>
  <si>
    <t>8.3.</t>
  </si>
  <si>
    <t>ieņēmumi no zvejas tiesību nomas</t>
  </si>
  <si>
    <t>13.1.0.0.</t>
  </si>
  <si>
    <t>9.</t>
  </si>
  <si>
    <t>Ieņēmumi no pašvaldības īpašuma pārdošana</t>
  </si>
  <si>
    <t>10.</t>
  </si>
  <si>
    <t>Valsts budžeta transferti un projektu finansējums</t>
  </si>
  <si>
    <t>10.1.</t>
  </si>
  <si>
    <t>Valsts budžeta transferti</t>
  </si>
  <si>
    <t>mērķdotācija</t>
  </si>
  <si>
    <t>18.6.2.3.</t>
  </si>
  <si>
    <t>10.1.1.</t>
  </si>
  <si>
    <t>dotācija mākslas skolas algām</t>
  </si>
  <si>
    <t>Precizēts MD apjoms</t>
  </si>
  <si>
    <t>18.6.2.4.</t>
  </si>
  <si>
    <t>10.1.2.</t>
  </si>
  <si>
    <t>dotācija sporta skolai</t>
  </si>
  <si>
    <t>18.6.2.10.; 18.6.2.11</t>
  </si>
  <si>
    <t>10.1.3.</t>
  </si>
  <si>
    <t>dotācija skolēnu ēdināšanai</t>
  </si>
  <si>
    <t>18.6.2.5.</t>
  </si>
  <si>
    <t>10.1.4.</t>
  </si>
  <si>
    <t>dotācija mācību līdzekļiem</t>
  </si>
  <si>
    <t xml:space="preserve">  10.1.4.1.</t>
  </si>
  <si>
    <t>t.sk.: - dotācija mācību grāmatām</t>
  </si>
  <si>
    <t>Valsts mērķdotācija mācību līdzekļiem izglītības iestādēs.</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</si>
  <si>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</si>
  <si>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</si>
  <si>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</si>
  <si>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</si>
  <si>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</si>
  <si>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</si>
  <si>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</si>
  <si>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</si>
  <si>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</si>
  <si>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</si>
  <si>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</si>
  <si>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</si>
  <si>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</si>
  <si>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</si>
  <si>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</si>
  <si>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</si>
  <si>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18.6.3.1.</t>
  </si>
  <si>
    <t>10.1.7.</t>
  </si>
  <si>
    <t>Projekts "Skolas soma" Ādaži</t>
  </si>
  <si>
    <t>Precizēta summa pēc līguma noslēgšanas</t>
  </si>
  <si>
    <t>10.1.8.</t>
  </si>
  <si>
    <t>Projekts "Skolas soma" Carnikava</t>
  </si>
  <si>
    <t>18.6.2.7.</t>
  </si>
  <si>
    <t>10.1.9.</t>
  </si>
  <si>
    <t>dotācija asistenta pakalpojumu nodrošināšanai</t>
  </si>
  <si>
    <t>10.1.10.</t>
  </si>
  <si>
    <t>dotācija sociālajiem darbiniekiem, kuri strādā ar ģimenēm un bērniem</t>
  </si>
  <si>
    <t>AM līdzfinansējums Mežaparka ceļa izbūvei</t>
  </si>
  <si>
    <t>0420 (18.6.2.9.)</t>
  </si>
  <si>
    <t>10.1.11.</t>
  </si>
  <si>
    <t>valsts dotācija ceļu uzturēšanai</t>
  </si>
  <si>
    <t>Precizēts mērķdotācijas pajoms</t>
  </si>
  <si>
    <r>
      <t xml:space="preserve">Valsts finansējums projektu konkursā "Atbalsts jaunatnes politikas īstenošanai vietējā līmenī" </t>
    </r>
    <r>
      <rPr>
        <sz val="11"/>
        <color theme="8" tint="-0.249977111117893"/>
        <rFont val="Times New Roman"/>
        <family val="1"/>
        <charset val="186"/>
      </rPr>
      <t>Projekts "Mobilais darbs ar jaunatni Ādažu novadā"</t>
    </r>
  </si>
  <si>
    <t>10.1.12.</t>
  </si>
  <si>
    <t>Dotācijas Ukrainas pilsoņu atbalstam</t>
  </si>
  <si>
    <t>Precizēta summa balstoties uz faktisko izpildi</t>
  </si>
  <si>
    <t>10.1.13.</t>
  </si>
  <si>
    <t>Dotācijas "Energoresursu atbalsts"</t>
  </si>
  <si>
    <t>CKS precizēts kods ieņēmumiem - valsts atbalsts iedzīvotājiem</t>
  </si>
  <si>
    <t>0630</t>
  </si>
  <si>
    <t>18.6.2.9.;</t>
  </si>
  <si>
    <t>10.1.14.</t>
  </si>
  <si>
    <t>pārējās dotācijas</t>
  </si>
  <si>
    <t>1) Noslēgts līgums par valsts līdzfinansējumu Dziesmu svētku dalībniekiem EUR 5840,91.
2) Apstiprināts dotācijas apjoms vienoto KAS uzturēšanai EUR 7'144.</t>
  </si>
  <si>
    <t>10.2.</t>
  </si>
  <si>
    <t>ES struktūrfondu līdzekļi un aktivitāšu līdzfinansējumi</t>
  </si>
  <si>
    <t>18.6.2.6.1.</t>
  </si>
  <si>
    <t>10.2.1.</t>
  </si>
  <si>
    <t>Dotācija nodarbinātības pasākumiem</t>
  </si>
  <si>
    <t>0634</t>
  </si>
  <si>
    <t>18.6.3.6.</t>
  </si>
  <si>
    <t>10.2.2.</t>
  </si>
  <si>
    <t>Plūdu risku projekts</t>
  </si>
  <si>
    <t>10.2.3.</t>
  </si>
  <si>
    <t>Apgaismojuma izbūve uz Salas aizsargdamja D-2 posmā, Carnikavas pagastā</t>
  </si>
  <si>
    <t>18.6.3.4</t>
  </si>
  <si>
    <t>10.2.4.</t>
  </si>
  <si>
    <t>Auto stāvlaukuma Lilastē paplašināšanas un atpūtas vietu labiekārtojuma projektēšana un izbūve ©</t>
  </si>
  <si>
    <t xml:space="preserve">18.6.3.13. </t>
  </si>
  <si>
    <t>10.2.5.</t>
  </si>
  <si>
    <t>SAM 9.2.4.2. projekts "Pasākumi vietējās sabiedrības veselības veicināšanai Ādažu novadā"</t>
  </si>
  <si>
    <t xml:space="preserve">18.6.3.14.  </t>
  </si>
  <si>
    <t>10.2.6.</t>
  </si>
  <si>
    <t>VISA projekts "Atbalsts izglītojamo individuālo kompetenču attīstībai"</t>
  </si>
  <si>
    <t>10.2.8.</t>
  </si>
  <si>
    <t>SAM 9311 Deinstitucionalizācija - Dienas centrs - specializētās darbnīcas</t>
  </si>
  <si>
    <t>10.2.9.</t>
  </si>
  <si>
    <t>Dienas centrs - pakalpojumi (Ā)</t>
  </si>
  <si>
    <t>0632.2</t>
  </si>
  <si>
    <t xml:space="preserve">18.6.3.12. </t>
  </si>
  <si>
    <t>10.2.10.</t>
  </si>
  <si>
    <t>LAD projekts "Laivu ielas un tai piegulošā auto stāvlaukuma projektēšana un būvniecība"</t>
  </si>
  <si>
    <t>10.2.11.</t>
  </si>
  <si>
    <t>KF Ūdenssaimniecība 3.kārta Carnikavā</t>
  </si>
  <si>
    <t>10.2.12.</t>
  </si>
  <si>
    <t>ESF projekts Karjeras atbalsts vispārējās un profesionālās izglītības iestādēs ©</t>
  </si>
  <si>
    <t>10.2.13.</t>
  </si>
  <si>
    <t>ESF projekts Atbalsts priekšlaicīgas mācību pārtraukšanas samazināšanai ©</t>
  </si>
  <si>
    <t>10.2.14.</t>
  </si>
  <si>
    <t>SAM 5.5.1. Kultūras objektu būvniecība ©</t>
  </si>
  <si>
    <t>10.2.15.</t>
  </si>
  <si>
    <t>ES projekts Eiropa pilsoņiem (diskriminētām personām) ©</t>
  </si>
  <si>
    <t>10.2.16.</t>
  </si>
  <si>
    <t>ERASMUS + projekti</t>
  </si>
  <si>
    <t>Precizēta projekta NP</t>
  </si>
  <si>
    <t>10.2.17.</t>
  </si>
  <si>
    <t xml:space="preserve"> ”Mobilitātes punkta infrastruktūras izveidošana Rīgas metropoles areālā – “Carnikava””</t>
  </si>
  <si>
    <t>10.2.18.</t>
  </si>
  <si>
    <t>Maģistrālā  veloceļa izbūve Rīga-Carnikava</t>
  </si>
  <si>
    <t>10.2.19.</t>
  </si>
  <si>
    <t>Ģimenes ārsta prakses izveide_Garā iela 20 (ERAF, SAM 9.3.2. 4.kārta)</t>
  </si>
  <si>
    <t>10.2.20.</t>
  </si>
  <si>
    <t>EKII projekts</t>
  </si>
  <si>
    <t>10.2.21.</t>
  </si>
  <si>
    <t>Katlu mājas pārbūve Carnikavā, Tulpju iela 5</t>
  </si>
  <si>
    <t>18.6.4.0.</t>
  </si>
  <si>
    <t>10.3.</t>
  </si>
  <si>
    <t>IIN budžeta dotācija</t>
  </si>
  <si>
    <t>11.</t>
  </si>
  <si>
    <t>Pašvaldību budžeta transferti</t>
  </si>
  <si>
    <t>19.2.1.0.</t>
  </si>
  <si>
    <t>11.1.</t>
  </si>
  <si>
    <t>no citām pašvaldībām izglītības funkciju nodrošināšanai</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</si>
  <si>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</si>
  <si>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</si>
  <si>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</si>
  <si>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</si>
  <si>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</si>
  <si>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</si>
  <si>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</si>
  <si>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</si>
  <si>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</si>
  <si>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</si>
  <si>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</si>
  <si>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</si>
  <si>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</si>
  <si>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</si>
  <si>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</si>
  <si>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</si>
  <si>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</si>
  <si>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</si>
  <si>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</si>
  <si>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</si>
  <si>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</si>
  <si>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</si>
  <si>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</si>
  <si>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</si>
  <si>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</si>
  <si>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</si>
  <si>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</si>
  <si>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21.3.8.4.</t>
  </si>
  <si>
    <t>12.3.2.</t>
  </si>
  <si>
    <t>ieņēmumi par zemes nomu</t>
  </si>
  <si>
    <t>12.3.3.</t>
  </si>
  <si>
    <t>pārējie ieņēmumi par nomu ©</t>
  </si>
  <si>
    <t>21.3.9.0.</t>
  </si>
  <si>
    <t>12.4.</t>
  </si>
  <si>
    <t>budžeta iestāžu maksas pakalpojumi</t>
  </si>
  <si>
    <t>0812</t>
  </si>
  <si>
    <t>12.4.1.</t>
  </si>
  <si>
    <t>12.4.2.</t>
  </si>
  <si>
    <t>ieņēmumi no biļešu realizācijas</t>
  </si>
  <si>
    <t>12.4.3.</t>
  </si>
  <si>
    <t>ieņēmumi no dzīvokļu un komunālajiem pakalpojumiem ©</t>
  </si>
  <si>
    <t>21.3.5.9.; 21.4.9.9.</t>
  </si>
  <si>
    <t>12.6.</t>
  </si>
  <si>
    <t>pārējie ieņēmumi/stāvvietu ieņēmumi</t>
  </si>
  <si>
    <t>KOPĀ IEŅĒMUMI:</t>
  </si>
  <si>
    <t>13.</t>
  </si>
  <si>
    <t>Naudas līdzekļu atlikums gada sākumā</t>
  </si>
  <si>
    <t>13.1.</t>
  </si>
  <si>
    <t>Naudas atlikums iezīmētiem mērķiem</t>
  </si>
  <si>
    <t>13.2.</t>
  </si>
  <si>
    <t>Naudas atlikums pašvaldības līdzekļi</t>
  </si>
  <si>
    <t xml:space="preserve">14. </t>
  </si>
  <si>
    <t>Valsts Kases kredīti</t>
  </si>
  <si>
    <t>14.1.</t>
  </si>
  <si>
    <t>14.2.</t>
  </si>
  <si>
    <t>14.3.</t>
  </si>
  <si>
    <t xml:space="preserve"> "Auto stāvlaukuma Lilastē paplašināšana, atpūtas vietu, labiekārtojuma, labierīcību, kempinga iespēju projektēšana un izbūve" ©</t>
  </si>
  <si>
    <t>F40321210</t>
  </si>
  <si>
    <t>14.4.</t>
  </si>
  <si>
    <t>SAM 5.1.1. Pretplūdu pasākumi Ādažu centra polderī, Ādažu novadā</t>
  </si>
  <si>
    <t>14.5.</t>
  </si>
  <si>
    <t>14.6.</t>
  </si>
  <si>
    <t>Carnikavas stadiona rekonstrukcija</t>
  </si>
  <si>
    <t>14.7.</t>
  </si>
  <si>
    <t>Ādažu vidusskolas ēkas B korpusa un savienojuma daļas starp korpusiem (C un B) fasādes atjaunošana</t>
  </si>
  <si>
    <t>14.8.</t>
  </si>
  <si>
    <t>Kalngales NAI pārbūve</t>
  </si>
  <si>
    <t>14.9.</t>
  </si>
  <si>
    <t>14.10.</t>
  </si>
  <si>
    <t>14.11.</t>
  </si>
  <si>
    <t>Ķiršu ielas III kārta no Saules ielas līdz Attekas ielai 0.17km</t>
  </si>
  <si>
    <t xml:space="preserve">Noslēdzies iepirkums par EUR 57'326 lielāka summa, kā plānots. Naudas plūsma precizēta atbilstoši Budžeta likumam, ka pašvaldības līdzfinansējums nav mazāks par 15%, budžetā sākotnēji plānots 30% līdzfinansējums. </t>
  </si>
  <si>
    <t>14.12.</t>
  </si>
  <si>
    <t>Draudzības iela posmā no Saules ielai līdz Podnieku ielai ar ietvi 0.35km</t>
  </si>
  <si>
    <t>14.13.</t>
  </si>
  <si>
    <t>Liepu aleja</t>
  </si>
  <si>
    <t>Atbalstīta projekta realizācija</t>
  </si>
  <si>
    <t>PAVISAM KOPĀ IEŅĒMUMI:</t>
  </si>
  <si>
    <t xml:space="preserve">Izdevumu daļa </t>
  </si>
  <si>
    <t>Komentāri</t>
  </si>
  <si>
    <t>Vispārējie valdības dienesti</t>
  </si>
  <si>
    <t>0110</t>
  </si>
  <si>
    <t>pārvalde</t>
  </si>
  <si>
    <t>EKK korekcija (algu ekonomija novirzīta uz KA, atbalstīto zemsvītras investīciju finansēšanai.)</t>
  </si>
  <si>
    <t>0111</t>
  </si>
  <si>
    <t>deputāti</t>
  </si>
  <si>
    <t>0130</t>
  </si>
  <si>
    <t>1.3.</t>
  </si>
  <si>
    <t>administratīvā komisija</t>
  </si>
  <si>
    <t>0140</t>
  </si>
  <si>
    <t>1.4.</t>
  </si>
  <si>
    <t>iepirkumu komisija</t>
  </si>
  <si>
    <t>0120</t>
  </si>
  <si>
    <t>1.5.</t>
  </si>
  <si>
    <t>vēlēšanu komisija</t>
  </si>
  <si>
    <t>0150</t>
  </si>
  <si>
    <t>1.6.</t>
  </si>
  <si>
    <t>pārējās komisijas</t>
  </si>
  <si>
    <t>EUR2000 uz PII Piejūra - balva par energotaupības rezultātiem</t>
  </si>
  <si>
    <t>1.7.</t>
  </si>
  <si>
    <t>aizņēmumu procentu maksājumi</t>
  </si>
  <si>
    <t>1.8.</t>
  </si>
  <si>
    <t>Iemaksas PFIF</t>
  </si>
  <si>
    <t>0170</t>
  </si>
  <si>
    <t>1.9.</t>
  </si>
  <si>
    <t>Informācijas tehnoloģiju nodaļa, vispārējas nozīmes dienestu darbība un pakalpojumi - datortīkla uzturēšana ©</t>
  </si>
  <si>
    <t>Pārējie vispārēja rakstura transferti</t>
  </si>
  <si>
    <t>0610</t>
  </si>
  <si>
    <t>Izdevumi neparedzētiem gadījumiem</t>
  </si>
  <si>
    <t>0340</t>
  </si>
  <si>
    <t>Sabiedriskā kārtība un drošība</t>
  </si>
  <si>
    <t>Ekonomiskā darbība</t>
  </si>
  <si>
    <t>0490</t>
  </si>
  <si>
    <t>Sabiedriskās attiecības, laikraksts</t>
  </si>
  <si>
    <t>4.1.1.</t>
  </si>
  <si>
    <t>Sabiedrisko attiecību nodaļa</t>
  </si>
  <si>
    <t>4.1.2.</t>
  </si>
  <si>
    <t>Ādažu vēstis</t>
  </si>
  <si>
    <t>0420</t>
  </si>
  <si>
    <t>Autoceļu fonds</t>
  </si>
  <si>
    <t>Vides aizsardzība</t>
  </si>
  <si>
    <t>0510</t>
  </si>
  <si>
    <t>Dabas resursu nodokļa izlietojums</t>
  </si>
  <si>
    <t>Pašvaldības teritoriju un mājokļu apsaimniekošana</t>
  </si>
  <si>
    <t>0620</t>
  </si>
  <si>
    <t>Būvvalde</t>
  </si>
  <si>
    <t>+ EUR 15'000 arhitektu plenērs izglītības kvartālam</t>
  </si>
  <si>
    <t>0660</t>
  </si>
  <si>
    <t>6.3.</t>
  </si>
  <si>
    <t>Teritorijas plānošanas nodaļa</t>
  </si>
  <si>
    <t>6.4.</t>
  </si>
  <si>
    <t>Attīstības un projektu nodaļa</t>
  </si>
  <si>
    <t>6.4.1.</t>
  </si>
  <si>
    <t>nodaļa</t>
  </si>
  <si>
    <t>Life CoHabit projekts noslēdzies - 2) EUR 5033 Gaujas-Baltezera projekta realizācijai (Lēmums #82)</t>
  </si>
  <si>
    <t>0630.1</t>
  </si>
  <si>
    <t>6.4.2.</t>
  </si>
  <si>
    <t>Projekts "Sabiedrība ar dvēseli"</t>
  </si>
  <si>
    <t>Saskaņā ar lēmumu, novirzīt EUR 1'630 no 0630.2 Pārrobežu EST-LAT projekts "Militārais mantojums uz 0630.1/3263 Sabiedrība ar dvēseli projektu realizācijai</t>
  </si>
  <si>
    <t>6.4.3.</t>
  </si>
  <si>
    <t>Iedzīvotāju iniciatīvas un konkursi.</t>
  </si>
  <si>
    <t>0632.5</t>
  </si>
  <si>
    <t>6.4.4.</t>
  </si>
  <si>
    <t>TEP “Atjaunojamo energoresursu izmantošana Ādažu novadā” (EUCF)</t>
  </si>
  <si>
    <t>EUR 18'000 no atlikuma uz TEP “Atjaunojamo energoresursu izmantošana Ādažu novadā” (EUCF) projektu priekšfinansējumam. (Lēmums #164)</t>
  </si>
  <si>
    <t>0633.1</t>
  </si>
  <si>
    <t>6.4.5.</t>
  </si>
  <si>
    <t>”Mobilitātes punkta infrastruktūras izveidošana Rīgas metropoles areālā – “Carnikava””</t>
  </si>
  <si>
    <t>0633.2</t>
  </si>
  <si>
    <t>6.4.6.</t>
  </si>
  <si>
    <t>0632.4</t>
  </si>
  <si>
    <t>6.4.7.</t>
  </si>
  <si>
    <t>6.4.8.</t>
  </si>
  <si>
    <t xml:space="preserve">  ES Padomes projekts LIFE COHABIT ©</t>
  </si>
  <si>
    <t>Life CoHabit projekts noslēdzies - 1) EUR 18'000 no atlikuma uz TEP “Atjaunojamo energoresursu izmantošana Ādažu novadā” (EUCF) projektu priekšfinansējumam. (Lēmums #164)
2) EUR 5033 Gaujas-Baltezera projekta realizācijai (Lēmums #82)</t>
  </si>
  <si>
    <t>6.4.9.</t>
  </si>
  <si>
    <t>Pārrobežu EST-LAT projekts "Militārais mantojums ©</t>
  </si>
  <si>
    <t>Noslēdzies iepirkums par kopsummu EUR 16'298. EUR 1'298 novirzīt no projekta Militārais mantojums (0630.2/2239) uz Ģimenes ārsta prakses izveide (0633.5/5240).</t>
  </si>
  <si>
    <t>0633.5</t>
  </si>
  <si>
    <t>6.4.10.</t>
  </si>
  <si>
    <t>6.5.</t>
  </si>
  <si>
    <t>Objektu un teritorijas apsaimniekošana un uzturēšana</t>
  </si>
  <si>
    <t>6.5.1.</t>
  </si>
  <si>
    <t>Nekustamo īpašumu uzturēšana (Ā)</t>
  </si>
  <si>
    <t>0670</t>
  </si>
  <si>
    <t xml:space="preserve">Nekustamā īpašumas nodaļa </t>
  </si>
  <si>
    <t>0649</t>
  </si>
  <si>
    <t>6.5.2.</t>
  </si>
  <si>
    <t>Mežaparka ceļš (Ā)</t>
  </si>
  <si>
    <t>6.5.3.</t>
  </si>
  <si>
    <t>CKS_apsaimniek</t>
  </si>
  <si>
    <t>6.5.4.</t>
  </si>
  <si>
    <t>Pašvaldības aģentūra "Carnikavas Komunālserviss"</t>
  </si>
  <si>
    <t>6.5.5.</t>
  </si>
  <si>
    <t>P/A "Carnikavas komunālserviss" teritorijas un īpašumu apsaimniekošana</t>
  </si>
  <si>
    <t>6.5.5.1</t>
  </si>
  <si>
    <t>Dotācija CKS teritorijas uzturēšanai</t>
  </si>
  <si>
    <t>1.-  EUR 18'000 uz 30.04. ekonomija uz vakancēm.
2. + EUR 16'000 uz CKS Garā 20 apkopējas atalgojums.
3. + EUR 21'000 uz CKS ārstu prakse Garā iela 20
4. + EUR 30'000 Smilšu ielas izbūves projektēšana
5. + EUR 5'000 Vecštāles caurtekas remonts
6. + 30'000 Dzirnupes ielas tilta projektēšanai
7. + 12'000 Caurteku rekonstrukcija (sabrukušas) Medus ielā
8. + 36'000 2 dzīvokļu remonts
9. + 180'000 Liepu aleja (ir tehniskais projekts) (EUR 54'000 pašvaldības līdzekļi; EUR 126'000 VK aizņēmums)
10. + 15'597 noslēdzies dubultās virsmas apstrādes iepirkums (Gaujmalas, Dārza, Kastaņu un Lazdu ielām)</t>
  </si>
  <si>
    <t>No CKS dotācijas uz Teritorijas uzturēšanu (Dome) par apsaimniekošanas līgumiem, kas noslēgti ar Domi</t>
  </si>
  <si>
    <t>6.5.5.2.</t>
  </si>
  <si>
    <t>Dotācija CKS ceļu uzturēšanai</t>
  </si>
  <si>
    <t>6.5.5.3.</t>
  </si>
  <si>
    <t>Teritorijas uzturēšana (Dome)</t>
  </si>
  <si>
    <t>+ EUR 7'921 - Noslēdzies iepirkums autobusa iegādei 2023.gada maksājumi EUR 27'121 (budžetā EUR 19'200)</t>
  </si>
  <si>
    <t>1) EUR 50'936 no CKS dotācijas uz Teritorijas uzturēšanu (Dome) par apsaimniekošanas līgumiem, kas noslēgti ar Domi.
2) Saskaņā ar līdzfinansējuma vērtēšanas komisijas ierosinājumu palielināt finanšu apjomu par EUR 20'000 daudzdzīvokļu māju siltināšanas līdzfinansējumam.</t>
  </si>
  <si>
    <t>0650_4</t>
  </si>
  <si>
    <t>6.5.6.</t>
  </si>
  <si>
    <t>Ceļu, ielu infrastruktūras attīstības programma  - pašvaldības ieguldījums ©</t>
  </si>
  <si>
    <t>0633.3</t>
  </si>
  <si>
    <t>6.5.7.</t>
  </si>
  <si>
    <t>6.5.8.</t>
  </si>
  <si>
    <t>Rasiņu ielas seguma atjaunošana</t>
  </si>
  <si>
    <t>Realizēs caur Domes līgumu</t>
  </si>
  <si>
    <t>6.5.9.</t>
  </si>
  <si>
    <t>6.5.10.</t>
  </si>
  <si>
    <t>6.5.11.</t>
  </si>
  <si>
    <t>6.5.12.</t>
  </si>
  <si>
    <t>6.5.13.</t>
  </si>
  <si>
    <t>0633.4</t>
  </si>
  <si>
    <t>6.5.14.</t>
  </si>
  <si>
    <t>KF Ūdenssaimniecības projekts Carnikavā, 3.kārta ©</t>
  </si>
  <si>
    <t>Atpūta, kultūra un reliģija</t>
  </si>
  <si>
    <t>Kultūra</t>
  </si>
  <si>
    <t>0841.1</t>
  </si>
  <si>
    <t>7.1.1.</t>
  </si>
  <si>
    <t xml:space="preserve">Ādažu kultūras centrs </t>
  </si>
  <si>
    <t>+ EUR 2'498 (49 austas rakstainās jostas korim SAKNES)</t>
  </si>
  <si>
    <r>
      <t>1) Saskaņā ar 05.04.23. lēmumu #129 Gaujas svētku ieņēmumus EUR 17'000 apmērā novirzīt uz izdevumu segšanu.
2)</t>
    </r>
    <r>
      <rPr>
        <b/>
        <sz val="11"/>
        <rFont val="Times New Roman"/>
        <family val="1"/>
        <charset val="186"/>
      </rPr>
      <t xml:space="preserve"> Iekš. groz.:</t>
    </r>
    <r>
      <rPr>
        <sz val="11"/>
        <rFont val="Times New Roman"/>
        <family val="1"/>
        <charset val="186"/>
      </rPr>
      <t xml:space="preserve"> EUR 9 000 no ĀNKC vadītājas vietnieces algas ietaupījuma uz EKK 2239 Gaujas svētku cilvēkresursu u.c. izdevumu apmaksai</t>
    </r>
  </si>
  <si>
    <t>0841.2</t>
  </si>
  <si>
    <t>7.1.2.</t>
  </si>
  <si>
    <t>Tautas nams "Ozolaine" ©</t>
  </si>
  <si>
    <t>0841.3</t>
  </si>
  <si>
    <t>7.1.3.</t>
  </si>
  <si>
    <t>Muzejs un Carnikavas novadpētniecības centrs</t>
  </si>
  <si>
    <t>08412</t>
  </si>
  <si>
    <t>Dziesmu svētki 2023</t>
  </si>
  <si>
    <t>EUR 20'000 papildus atobusu īrei Dziesmu un deju svētkos</t>
  </si>
  <si>
    <t>0844.1</t>
  </si>
  <si>
    <t>7.3.</t>
  </si>
  <si>
    <t>SAM 5.5.1. Kultūras objektu būvniecība (maksājumi projekta partneriem) ©</t>
  </si>
  <si>
    <t>0844.2</t>
  </si>
  <si>
    <t>7.4.</t>
  </si>
  <si>
    <t>0830</t>
  </si>
  <si>
    <t>7.5.</t>
  </si>
  <si>
    <t xml:space="preserve">Ādažu bibliotēka </t>
  </si>
  <si>
    <t>Saskaņā ar maija sēdes lēmumu par bibliotēkas paplašināšanos</t>
  </si>
  <si>
    <t>0831</t>
  </si>
  <si>
    <t>7.6.</t>
  </si>
  <si>
    <t xml:space="preserve">Carnikavas bibliotēka </t>
  </si>
  <si>
    <t>7.8.</t>
  </si>
  <si>
    <t>Sporta daļa</t>
  </si>
  <si>
    <t>0880</t>
  </si>
  <si>
    <t>7.9.</t>
  </si>
  <si>
    <t>Evaņģēliski luteriskās draudzes</t>
  </si>
  <si>
    <t>0843</t>
  </si>
  <si>
    <t>7.10.</t>
  </si>
  <si>
    <t>Multihalle</t>
  </si>
  <si>
    <t>Sociālā aizsardzība</t>
  </si>
  <si>
    <t>Sociālais dienests</t>
  </si>
  <si>
    <t>8.1.1.</t>
  </si>
  <si>
    <t xml:space="preserve">Sociālās funkcijas nodrošināšana </t>
  </si>
  <si>
    <t>8.1.2.</t>
  </si>
  <si>
    <t>Pabalsti</t>
  </si>
  <si>
    <t>8.1.3.</t>
  </si>
  <si>
    <t>Mērķdotācija</t>
  </si>
  <si>
    <t>8.1.5.</t>
  </si>
  <si>
    <t>Asistentu pakalpojumi</t>
  </si>
  <si>
    <t>8.1.6.</t>
  </si>
  <si>
    <t>Sociālā centra "Kadiķis" uzturēšana</t>
  </si>
  <si>
    <t>Stipendiāti / bezdarbnieki</t>
  </si>
  <si>
    <t>8.2.1.</t>
  </si>
  <si>
    <t>Domes finansējums</t>
  </si>
  <si>
    <t>8.2.2.</t>
  </si>
  <si>
    <t>NVA finansējums</t>
  </si>
  <si>
    <t>SAM 9311 Deinstitucionalizācija - Dienas centrs</t>
  </si>
  <si>
    <t>1014.3</t>
  </si>
  <si>
    <t>8.3.1.</t>
  </si>
  <si>
    <t>DI centra uzturēšanas izdevumi</t>
  </si>
  <si>
    <t>8.3.2.</t>
  </si>
  <si>
    <t>DI projekts- specializētās darbnīcas</t>
  </si>
  <si>
    <t>1014.1</t>
  </si>
  <si>
    <t>8.3.3.</t>
  </si>
  <si>
    <t>DI centra pakalpojumi (projekts)</t>
  </si>
  <si>
    <t>8.4.</t>
  </si>
  <si>
    <t>Bāriņtiesa</t>
  </si>
  <si>
    <t>8.5.</t>
  </si>
  <si>
    <t>8.6.</t>
  </si>
  <si>
    <t>1013.1</t>
  </si>
  <si>
    <t>8.7.</t>
  </si>
  <si>
    <t>SAM 9.2.4.2. projekts "Pasākumi vietējās sabiedrības veselības veicināšanai Ādažu novada pašvaldības Ādažu pagastā"</t>
  </si>
  <si>
    <t>1013.2</t>
  </si>
  <si>
    <t>8.8.</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</si>
  <si>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</si>
  <si>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</si>
  <si>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</si>
  <si>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</si>
  <si>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</si>
  <si>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9.2.</t>
  </si>
  <si>
    <t>Ādažu Pirmsskolas izglītības iestāde</t>
  </si>
  <si>
    <t>0911</t>
  </si>
  <si>
    <t>9.2.1.</t>
  </si>
  <si>
    <t>pedagogu algas, grāmatas (mērķdotācija)</t>
  </si>
  <si>
    <t>0910</t>
  </si>
  <si>
    <t>9.2.2.</t>
  </si>
  <si>
    <t>pārējās izmaksas</t>
  </si>
  <si>
    <t>1. - EUR 7'910 korekcija (algu ekonomija novirzīta uz KA, atbalstīto zemsvītras investīciju finansēšanai.)
2. + EUR 20'000 ĀPII rotaļu laukums</t>
  </si>
  <si>
    <t>9.3.</t>
  </si>
  <si>
    <t>Kadagas PII</t>
  </si>
  <si>
    <t>0921</t>
  </si>
  <si>
    <t>9.3.1.</t>
  </si>
  <si>
    <t>0920</t>
  </si>
  <si>
    <t>9.3.2.</t>
  </si>
  <si>
    <t>9.4.</t>
  </si>
  <si>
    <t>Pirmsskolas izglītības iestāde "Riekstiņš"</t>
  </si>
  <si>
    <t>09011</t>
  </si>
  <si>
    <t>9.4.1.</t>
  </si>
  <si>
    <t>0901; 650_0901</t>
  </si>
  <si>
    <t>9.4.2.</t>
  </si>
  <si>
    <t>9.4.3.</t>
  </si>
  <si>
    <t>uzturēšanas izmaksas (CKS)</t>
  </si>
  <si>
    <t>0902; 650_0902</t>
  </si>
  <si>
    <t>9.5.</t>
  </si>
  <si>
    <t>Pirmsskolas izglītības iestādes "Piejūra"</t>
  </si>
  <si>
    <t>09021</t>
  </si>
  <si>
    <t>9.5.1.</t>
  </si>
  <si>
    <t>9.5.2.</t>
  </si>
  <si>
    <t>EUR 2000 uz PII Piejūra - balva par energotaupības rezultātiem</t>
  </si>
  <si>
    <t>9.5.3.</t>
  </si>
  <si>
    <t>9.6.</t>
  </si>
  <si>
    <t>Privātās izglītības iestādes</t>
  </si>
  <si>
    <t>0970</t>
  </si>
  <si>
    <t>9.6.1.</t>
  </si>
  <si>
    <t>ĀBVS</t>
  </si>
  <si>
    <t>0940</t>
  </si>
  <si>
    <t>9.6.2.</t>
  </si>
  <si>
    <t>Privātās skolas</t>
  </si>
  <si>
    <t>9.6.3.</t>
  </si>
  <si>
    <t>Pārējās privātās PII</t>
  </si>
  <si>
    <t>9.7.</t>
  </si>
  <si>
    <t>Carnikavas pamatskola</t>
  </si>
  <si>
    <t>09821</t>
  </si>
  <si>
    <t>9.7.1.</t>
  </si>
  <si>
    <t>9.7.2.</t>
  </si>
  <si>
    <t>ēdināšana (mērķdotācija)</t>
  </si>
  <si>
    <t>0982; 0650_0982</t>
  </si>
  <si>
    <t>9.7.3.</t>
  </si>
  <si>
    <t>9.7.4.</t>
  </si>
  <si>
    <t>09822</t>
  </si>
  <si>
    <t>9.7.5.</t>
  </si>
  <si>
    <t>projekts "Skolas soma"</t>
  </si>
  <si>
    <t>09825</t>
  </si>
  <si>
    <t>9.7.6.</t>
  </si>
  <si>
    <t>projekts Erasmus+</t>
  </si>
  <si>
    <t>0982</t>
  </si>
  <si>
    <t>9.7.7.</t>
  </si>
  <si>
    <t>mācību vides labiekārtošana</t>
  </si>
  <si>
    <t>09823</t>
  </si>
  <si>
    <t>9.8.</t>
  </si>
  <si>
    <t>9.9.</t>
  </si>
  <si>
    <t>Ādažu vidusskola</t>
  </si>
  <si>
    <t>0954</t>
  </si>
  <si>
    <t>9.9.1.</t>
  </si>
  <si>
    <t>0950</t>
  </si>
  <si>
    <t>9.9.2.</t>
  </si>
  <si>
    <t>1. EUR 7'900 IZM piegādāto ChromeBook (IZM projekts datori 7-9 kl. skolēniem) uzglabāšanas, uzlādes skapji 5 gb. (32 datori vienā skapī). Šos no EKK 5238 uz EKK 5240.
2. EUR 10'864 SIA "Ādažu Namsaimnieks" dividendes, novirzīt caur 0950 izdevumi vidussk.apkures sist.pāreja uz atjaunoj.energoresursiem, Domes lēmums Nr.215.</t>
  </si>
  <si>
    <t>Ugunsdrošības un apziņošanas sistēmas ierīkošana Ādažu vidusskolas korpusā -2023.gadā gala maksājums EUR 43000 no konta atlikuma (nebija iekļauts budžeta plānā)</t>
  </si>
  <si>
    <t>0957</t>
  </si>
  <si>
    <t>9.9.3.</t>
  </si>
  <si>
    <t>0951</t>
  </si>
  <si>
    <t>9.9.4.</t>
  </si>
  <si>
    <t>9.9.5.</t>
  </si>
  <si>
    <t>Ādažu vidusskolas ēkas B korpusa un savienojuma daļas starp korpusiem (C un B) fasādes atjaunošana - pašvaldības līdzfinansējuma daļa (aizņemšanās nosacījumi paredz 10% līdzfin.)</t>
  </si>
  <si>
    <t>0981</t>
  </si>
  <si>
    <t>9.9.6.</t>
  </si>
  <si>
    <t>sākumskolas uzturēšanas izmaksas</t>
  </si>
  <si>
    <t>1. EUR 7'000 no apkures izmaksām (EKK 2221) uz EKK 5239 boilera uzstādīšanai, SIA "Namsaimnieks" nenodrošina silto ūdeni ārpus apkures sezonai.
2. EUR 166'307 pusdienu līdzfinansējums 1.-4.kl. (EKK korekcija)</t>
  </si>
  <si>
    <t>9.9.7.</t>
  </si>
  <si>
    <t>sākumskolas ēdināšana (mērķdotācija)</t>
  </si>
  <si>
    <t>9.9.8.</t>
  </si>
  <si>
    <t xml:space="preserve">PII </t>
  </si>
  <si>
    <t>0952.1</t>
  </si>
  <si>
    <t>9.9.8.1.</t>
  </si>
  <si>
    <t>- pedagogu algas (mērķdotācija)</t>
  </si>
  <si>
    <t>0952</t>
  </si>
  <si>
    <t>9.9.8.2.</t>
  </si>
  <si>
    <t>-  uzturēšana</t>
  </si>
  <si>
    <t>9.10.</t>
  </si>
  <si>
    <t>Ādažu novada  Mākslu skola</t>
  </si>
  <si>
    <t>9.10.1.</t>
  </si>
  <si>
    <t>pedagogu algas (mērķdotācija)</t>
  </si>
  <si>
    <t>9.10.2.</t>
  </si>
  <si>
    <t>9.11.</t>
  </si>
  <si>
    <t>Sporta skola</t>
  </si>
  <si>
    <t>09651</t>
  </si>
  <si>
    <t>9.11.1.</t>
  </si>
  <si>
    <t>0965</t>
  </si>
  <si>
    <t>9.11.2.</t>
  </si>
  <si>
    <t>Pašvaldības finansējums</t>
  </si>
  <si>
    <t>0930</t>
  </si>
  <si>
    <t>9.12.</t>
  </si>
  <si>
    <t xml:space="preserve">Izglītības un jauniešu lietu pārvalde </t>
  </si>
  <si>
    <t>9.13.</t>
  </si>
  <si>
    <t>Aktivitātes jauniešiem, jauniešu projektu konkurss</t>
  </si>
  <si>
    <t>0931</t>
  </si>
  <si>
    <t>9.14.</t>
  </si>
  <si>
    <t>ESF projekts Atbalsts priekšlaicīgas mācību pārtraukšanas samazināšanai © (Pumpurs)</t>
  </si>
  <si>
    <t>0932</t>
  </si>
  <si>
    <t>9.15.</t>
  </si>
  <si>
    <t>0933</t>
  </si>
  <si>
    <t>9.16.</t>
  </si>
  <si>
    <t>Valsts finansējums projektu konkursā "Atbalsts jaunatnes politikas īstenošanai vietējā līmenī"  projekts "Mobilais darbs ar jaunatni Ādažu novadā"</t>
  </si>
  <si>
    <t>9.17.</t>
  </si>
  <si>
    <t>0956</t>
  </si>
  <si>
    <t>9.17.1.</t>
  </si>
  <si>
    <t>Ādaži</t>
  </si>
  <si>
    <t>09824</t>
  </si>
  <si>
    <t>9.17.2.</t>
  </si>
  <si>
    <t>Carnikava</t>
  </si>
  <si>
    <t>10</t>
  </si>
  <si>
    <t>Ieguldījumi uzņēmumu pamatkapitālā</t>
  </si>
  <si>
    <t>SIA "Ādažu ūdens"</t>
  </si>
  <si>
    <t>SIA "Garkalnes ūdens"</t>
  </si>
  <si>
    <t>KOPĀ IZDEVUMI:</t>
  </si>
  <si>
    <t>Kredītu pamatsummas atmaksa</t>
  </si>
  <si>
    <t>PAVISAM KOPĀ IZDEVUMI:</t>
  </si>
  <si>
    <t>-</t>
  </si>
  <si>
    <t>Naudas līdzekļu atlikums uz gada beigām</t>
  </si>
  <si>
    <t>4.pielikums</t>
  </si>
  <si>
    <t>2018.gada 23.janvāra</t>
  </si>
  <si>
    <t>saistošajiem noteikumiem Nr.2/2019</t>
  </si>
  <si>
    <t>Ādažu pašvaldības aizņēmumu un citu ilgtermiņa saistību pārskats</t>
  </si>
  <si>
    <t>Aizdevumu pamatsummu un procentu atmaksa faktiskajiem un plānotajiem aizņēmumiem.</t>
  </si>
  <si>
    <t>Aizdevuma mērķis</t>
  </si>
  <si>
    <t>Līguma Nr.</t>
  </si>
  <si>
    <t>Trānčes Nr.</t>
  </si>
  <si>
    <t>Līguma dat.</t>
  </si>
  <si>
    <t>Līguma termiņš</t>
  </si>
  <si>
    <t>Līgumsumma LVL</t>
  </si>
  <si>
    <t>Līgumsumma EUR</t>
  </si>
  <si>
    <t>Saņemts LVL</t>
  </si>
  <si>
    <t>Saņemts EUR</t>
  </si>
  <si>
    <t>% likme</t>
  </si>
  <si>
    <t>Aizdevuma apkalpošanas likme</t>
  </si>
  <si>
    <t>% maksājumu reizes gadā</t>
  </si>
  <si>
    <t>Izmaksāts no VK 2010.gadā</t>
  </si>
  <si>
    <t>Atlikums uz 01.01.2010.</t>
  </si>
  <si>
    <t>Atlikusī pamatsumma EUR uz 31/12/2014</t>
  </si>
  <si>
    <t>Atlikusī pamatsumma EUR uz 31/12/2015</t>
  </si>
  <si>
    <t>Veids</t>
  </si>
  <si>
    <t>Atlikums 31.12.2019.</t>
  </si>
  <si>
    <t>Kopā 2020. gadā</t>
  </si>
  <si>
    <t>Kopā 2021. gadā</t>
  </si>
  <si>
    <t>Kopā 2022. gadā</t>
  </si>
  <si>
    <t>Kopā 2023. gadā</t>
  </si>
  <si>
    <t>Kopā 2024. gadā</t>
  </si>
  <si>
    <t>Kopā 2025. gadā</t>
  </si>
  <si>
    <t>Kopā 2026. gadā</t>
  </si>
  <si>
    <t>Kopā 2027. gadā</t>
  </si>
  <si>
    <t>Kopā 2028. gadā</t>
  </si>
  <si>
    <t>Kopā 2029. gadā</t>
  </si>
  <si>
    <t>No 2030. - 2051.</t>
  </si>
  <si>
    <t>Kopsumma no 2023. - 2051.</t>
  </si>
  <si>
    <t>Stabilizācijas aizdevums -</t>
  </si>
  <si>
    <t>A2/1/11/107</t>
  </si>
  <si>
    <t>P-50/2011</t>
  </si>
  <si>
    <t>01.03.2011</t>
  </si>
  <si>
    <t>11.04.2011.</t>
  </si>
  <si>
    <t>20.04.2036.</t>
  </si>
  <si>
    <t>pamats.</t>
  </si>
  <si>
    <t>1.kārtas 2.posms</t>
  </si>
  <si>
    <t>%</t>
  </si>
  <si>
    <t>A2/1/11/549</t>
  </si>
  <si>
    <t>P-350/2011</t>
  </si>
  <si>
    <t>20.12.2031.</t>
  </si>
  <si>
    <t xml:space="preserve"> 1.kārtas 3.posms</t>
  </si>
  <si>
    <t>Stabilizācijas aizdevums - 2.k. 1.p.</t>
  </si>
  <si>
    <t>A2/1/12/328</t>
  </si>
  <si>
    <t>P-219/2012</t>
  </si>
  <si>
    <t>25.03.2032.</t>
  </si>
  <si>
    <t>Kohēzijas projekts</t>
  </si>
  <si>
    <t>Stabilizācijas aizdevums - 2.k. 2.p.</t>
  </si>
  <si>
    <t>A2/1/13/1000</t>
  </si>
  <si>
    <t>P-441/2013</t>
  </si>
  <si>
    <t>25.11.2023.</t>
  </si>
  <si>
    <t>Kohēzijas projekts II kārta</t>
  </si>
  <si>
    <t xml:space="preserve">Gaujas ielas rekonstrukcija </t>
  </si>
  <si>
    <t>A2/1/17/301</t>
  </si>
  <si>
    <t>P-196/2017</t>
  </si>
  <si>
    <t>19.05.2017.</t>
  </si>
  <si>
    <t>20.05.2032.</t>
  </si>
  <si>
    <t>1.-3.kārta</t>
  </si>
  <si>
    <t>Gaujas ielas rekonstrukcijai</t>
  </si>
  <si>
    <t>A2/1/17/596</t>
  </si>
  <si>
    <t>P-450/2017</t>
  </si>
  <si>
    <t>21.08.2017.</t>
  </si>
  <si>
    <t>20.08.2032.</t>
  </si>
  <si>
    <t>4.kārta</t>
  </si>
  <si>
    <t>Ādažu vidusskolas remonts</t>
  </si>
  <si>
    <t>A2/1/17/468</t>
  </si>
  <si>
    <t>P-330/2017</t>
  </si>
  <si>
    <t>04.07.2017.</t>
  </si>
  <si>
    <t>20.06.2023</t>
  </si>
  <si>
    <t>30.08.2017.</t>
  </si>
  <si>
    <t>88'266+46'627</t>
  </si>
  <si>
    <t>Jaunās skolas būvniecībai</t>
  </si>
  <si>
    <t xml:space="preserve">A2/1/16/451 </t>
  </si>
  <si>
    <t>P-328/2016</t>
  </si>
  <si>
    <t>25.10.2016.</t>
  </si>
  <si>
    <t>20.10.2021.</t>
  </si>
  <si>
    <t>Būvprojekta izstrāde un autoruzraudzība</t>
  </si>
  <si>
    <t>A2/1/17/640</t>
  </si>
  <si>
    <t>P-481/2017</t>
  </si>
  <si>
    <t>31.08.2017.</t>
  </si>
  <si>
    <t>20.08.2022.</t>
  </si>
  <si>
    <t>Ekspertīze</t>
  </si>
  <si>
    <t>A2/1/18/123</t>
  </si>
  <si>
    <t>P-94/2018</t>
  </si>
  <si>
    <t>03.04.2018.</t>
  </si>
  <si>
    <t>20.06.2048.</t>
  </si>
  <si>
    <t>Būvniecība 1.,2.kārta</t>
  </si>
  <si>
    <t>A2/1/18/123-V/18/2</t>
  </si>
  <si>
    <t>A2/1/20/158</t>
  </si>
  <si>
    <t>P-119/2020</t>
  </si>
  <si>
    <t>29.04.2020.</t>
  </si>
  <si>
    <t>20.04.2048.</t>
  </si>
  <si>
    <t>Būvniecība 3.kārta izsniegts</t>
  </si>
  <si>
    <t>12m EURIBOR + fix daļa 2,143% (t.sk. 0,25% apk. m.)</t>
  </si>
  <si>
    <t>Gaujas ielas gājēju celiņa izbūve</t>
  </si>
  <si>
    <t>A2/1/22/165</t>
  </si>
  <si>
    <t>P-112/2022</t>
  </si>
  <si>
    <t>04.07.2022.</t>
  </si>
  <si>
    <t>20.06.2027.</t>
  </si>
  <si>
    <t>Muižas ielas rekonstrukcijai</t>
  </si>
  <si>
    <t>A2/1/18/711</t>
  </si>
  <si>
    <t>P-580/2018</t>
  </si>
  <si>
    <t>10.10.2018.</t>
  </si>
  <si>
    <t>20.09.2028.</t>
  </si>
  <si>
    <t>Ataru ceļa rekonstrukcija</t>
  </si>
  <si>
    <t>A2/1/20/411</t>
  </si>
  <si>
    <t>P-177/2020</t>
  </si>
  <si>
    <t>SAM 4.2.2. ĀPII</t>
  </si>
  <si>
    <t>A2/1/17/375</t>
  </si>
  <si>
    <t>P-258/2017</t>
  </si>
  <si>
    <t>08.06.2017.</t>
  </si>
  <si>
    <t>20.06.2022.</t>
  </si>
  <si>
    <t>Projektēšana</t>
  </si>
  <si>
    <t>A2/1/19/370</t>
  </si>
  <si>
    <t>P-236/2019</t>
  </si>
  <si>
    <t>09.10.2019.</t>
  </si>
  <si>
    <t>20.09.2034.</t>
  </si>
  <si>
    <t>Remontdarbi</t>
  </si>
  <si>
    <t>LAD projekts Laveru ceļš</t>
  </si>
  <si>
    <t>A2/1/18/304</t>
  </si>
  <si>
    <t>P-218/2018</t>
  </si>
  <si>
    <t>01.06.2018.</t>
  </si>
  <si>
    <t>20.05.2020.</t>
  </si>
  <si>
    <t xml:space="preserve">SAM 5.1.1. Pretplūdu pasākumi </t>
  </si>
  <si>
    <t>A2/1/17/641</t>
  </si>
  <si>
    <t>P-482/2017</t>
  </si>
  <si>
    <t>Ādažu centra polderī, Ādažu novadā (I kārta-projektēšana)</t>
  </si>
  <si>
    <t>Nr.A2/1/17/641 - V/18/1</t>
  </si>
  <si>
    <t>A2/1/19/421</t>
  </si>
  <si>
    <t>P-269/2019</t>
  </si>
  <si>
    <t>22.11.2019.</t>
  </si>
  <si>
    <t>20.11.2034.</t>
  </si>
  <si>
    <t xml:space="preserve">Ādažu centra polderī, Ādažu novadā </t>
  </si>
  <si>
    <t>13.3.</t>
  </si>
  <si>
    <t>A2/1/22/123</t>
  </si>
  <si>
    <t>P-70/2022</t>
  </si>
  <si>
    <t>31.05.2022.</t>
  </si>
  <si>
    <t>20.05.2037.</t>
  </si>
  <si>
    <t>13.4.</t>
  </si>
  <si>
    <t xml:space="preserve">ERAF projekta (Nr.5.1.1.0/17/I/009) “Novērst plūdu un krasta erozijas </t>
  </si>
  <si>
    <t>A2/1/22/582</t>
  </si>
  <si>
    <t>P-389/2022</t>
  </si>
  <si>
    <t>23.12.2022.</t>
  </si>
  <si>
    <t>21.12.2037.</t>
  </si>
  <si>
    <t>risku apdraudējumu Ādažu novadā, pirmā daļa” īstenošanai</t>
  </si>
  <si>
    <t>Attekas ielas rekonstrukcija</t>
  </si>
  <si>
    <t>A2/1/18/644</t>
  </si>
  <si>
    <t>P-538/2018</t>
  </si>
  <si>
    <t>12.09.2018.</t>
  </si>
  <si>
    <t>20.09.2033.</t>
  </si>
  <si>
    <t xml:space="preserve">SAM 9311 Deinstitucionalizācija - </t>
  </si>
  <si>
    <t>A2/1/21/729</t>
  </si>
  <si>
    <t>P-556/2021</t>
  </si>
  <si>
    <t>02.12.2021.</t>
  </si>
  <si>
    <t>20.11.2040.</t>
  </si>
  <si>
    <t>Dienas centrs</t>
  </si>
  <si>
    <t xml:space="preserve"> Bukultu ielas rekonstrukcija</t>
  </si>
  <si>
    <t>A2/1/20/745</t>
  </si>
  <si>
    <t>P-393/2020</t>
  </si>
  <si>
    <t>13.10.2020.</t>
  </si>
  <si>
    <t>22.09.2025.</t>
  </si>
  <si>
    <t>03.11.2020.</t>
  </si>
  <si>
    <t>Ķiršu ielas rekonstrukcija</t>
  </si>
  <si>
    <t>A2/1/21/727</t>
  </si>
  <si>
    <t>P-558/2021</t>
  </si>
  <si>
    <t>20.11.2031.</t>
  </si>
  <si>
    <t>Pirmās ielas stāvlaukums pie ĀPII</t>
  </si>
  <si>
    <t>A2/1/21/632</t>
  </si>
  <si>
    <t>P-481/2021</t>
  </si>
  <si>
    <t>14.10.2021.</t>
  </si>
  <si>
    <t>21.09.2026.</t>
  </si>
  <si>
    <t>Mežaparka ceļa pārbūve</t>
  </si>
  <si>
    <t>A2/1/21/728</t>
  </si>
  <si>
    <t>P-557/2021</t>
  </si>
  <si>
    <t>Priežu ielas rekonstrukcija</t>
  </si>
  <si>
    <t>A2/1/20/746</t>
  </si>
  <si>
    <t>P-392/2020</t>
  </si>
  <si>
    <t xml:space="preserve">Skolas siltināšana un stadiona </t>
  </si>
  <si>
    <t>A2/1/22/250</t>
  </si>
  <si>
    <t xml:space="preserve">P-164/2022 </t>
  </si>
  <si>
    <t>03.08.2022.</t>
  </si>
  <si>
    <t>20.07.2032.</t>
  </si>
  <si>
    <t>rekonstrukcija</t>
  </si>
  <si>
    <t>PRIO</t>
  </si>
  <si>
    <t xml:space="preserve">Skolas ielas projektēšana izbūve - </t>
  </si>
  <si>
    <t>A2/1/22/239</t>
  </si>
  <si>
    <t>P-160/2022</t>
  </si>
  <si>
    <t>20.07.2022.</t>
  </si>
  <si>
    <t>20.07.2027.</t>
  </si>
  <si>
    <t>3.kārta</t>
  </si>
  <si>
    <t>Pārjaunojuma līgums visiem līgumiem līdz 2015.gadam</t>
  </si>
  <si>
    <r>
      <t xml:space="preserve">A2/1/19/50  </t>
    </r>
    <r>
      <rPr>
        <b/>
        <sz val="8"/>
        <rFont val="Times New Roman"/>
        <family val="1"/>
        <charset val="186"/>
      </rPr>
      <t xml:space="preserve"> </t>
    </r>
  </si>
  <si>
    <t>PP-5/2019</t>
  </si>
  <si>
    <t>05.03.2019.</t>
  </si>
  <si>
    <t>20.09.2035.</t>
  </si>
  <si>
    <t>Investīciju projektu īstenošanai (saistību pārjaunojums) Nr.A2/1/21/139 Trančes Nr.PP-14/2021</t>
  </si>
  <si>
    <t>A2/1/21/139</t>
  </si>
  <si>
    <t>PP-14/2021</t>
  </si>
  <si>
    <t>26.04.2021.</t>
  </si>
  <si>
    <t>21.06.2038.</t>
  </si>
  <si>
    <t xml:space="preserve">ELFLA projekts pievadceļu attīstība lauksaimniecības uzņēmumiem </t>
  </si>
  <si>
    <t>A2/1/18/139</t>
  </si>
  <si>
    <t>P-109/2018</t>
  </si>
  <si>
    <t>05.04.2018.</t>
  </si>
  <si>
    <t>22.03.2038.</t>
  </si>
  <si>
    <t xml:space="preserve">Komunālās saimniecības investīcijas transportam </t>
  </si>
  <si>
    <t>A2/1/18/252</t>
  </si>
  <si>
    <t>P-200/2018</t>
  </si>
  <si>
    <t>28.05.2018.</t>
  </si>
  <si>
    <t>20.05.2025.</t>
  </si>
  <si>
    <t>Būvprojekta "Kultūras un amatniecības centra pārbūve īpašumā "Blusas"" izstrāde</t>
  </si>
  <si>
    <t>A2/1/18/253</t>
  </si>
  <si>
    <t>P-201/2018</t>
  </si>
  <si>
    <t>22.05.2023.</t>
  </si>
  <si>
    <t>ERAF projekts Natura 2000 Atpūtas taka Carnikavā</t>
  </si>
  <si>
    <t>A2/1/18/254</t>
  </si>
  <si>
    <t>P-202/2018</t>
  </si>
  <si>
    <t>20.05.2038.</t>
  </si>
  <si>
    <t>ES Interreg Igaunijas - Latvijas projekts "Hiking Route Along the Baltic Sea Coastline in Latvia-Estonia"</t>
  </si>
  <si>
    <t>A2/1/18/255</t>
  </si>
  <si>
    <t>P-203/2018</t>
  </si>
  <si>
    <t>20.05.2033.</t>
  </si>
  <si>
    <t>Ceļu, ielu infrastruktūras programma1.kārta</t>
  </si>
  <si>
    <t>A2/1/18/251</t>
  </si>
  <si>
    <t>P-205/2018</t>
  </si>
  <si>
    <t>Prioritāro projektu īstenošana: bērnu rotaļu laukumi Carnikavas novadā</t>
  </si>
  <si>
    <t>A2/1/18/452</t>
  </si>
  <si>
    <t>P-374/2018</t>
  </si>
  <si>
    <t>12.07.2018.</t>
  </si>
  <si>
    <t>20.06.2028.</t>
  </si>
  <si>
    <t>Izglītības iestāžu investīciju projekts - Carnikavas izglītības iestādes būvniecība no moduļiem</t>
  </si>
  <si>
    <t>A2/1/18/528</t>
  </si>
  <si>
    <t>P-436/2018</t>
  </si>
  <si>
    <t>03.08.2018.</t>
  </si>
  <si>
    <t>20.07.2048.</t>
  </si>
  <si>
    <t>Izglītības iestāžu investīciju projekts - Piejūras PII būvniecība</t>
  </si>
  <si>
    <t>A2/1/18/529</t>
  </si>
  <si>
    <t>P-435/2018</t>
  </si>
  <si>
    <t>Ceļu, ielu infrastruktūras programma 2.kārta</t>
  </si>
  <si>
    <t>A2/1/18/611</t>
  </si>
  <si>
    <t>P-500/2018</t>
  </si>
  <si>
    <t>04.09.2018.</t>
  </si>
  <si>
    <t>20.08.2038.</t>
  </si>
  <si>
    <t>Ceļu, ielu infrastruktūras programma 3.kārta</t>
  </si>
  <si>
    <t>A2/1/18/643</t>
  </si>
  <si>
    <t>P-537/2018</t>
  </si>
  <si>
    <t>Ceļu, ielu infrastruktūras programma 4.kārta</t>
  </si>
  <si>
    <t>A2/1/18/777</t>
  </si>
  <si>
    <t>P-643/2018</t>
  </si>
  <si>
    <t>12.11.2018.</t>
  </si>
  <si>
    <t>20.10.2038.</t>
  </si>
  <si>
    <t xml:space="preserve">Prioritārais projekts Dambja būvniecība Valteru ielā </t>
  </si>
  <si>
    <t>A2/1/18/818</t>
  </si>
  <si>
    <t>P-666/2018</t>
  </si>
  <si>
    <t>21.11.2018.</t>
  </si>
  <si>
    <t>22.11.2038.</t>
  </si>
  <si>
    <t>ELFLA Eimuru - Mangaļu poldera meliorācijas grāvju atjaunošana Carnikavas novadā</t>
  </si>
  <si>
    <t>A2/1/19/57</t>
  </si>
  <si>
    <t>P-31/2019</t>
  </si>
  <si>
    <t>06.03.2019.</t>
  </si>
  <si>
    <t>20.02.2029.</t>
  </si>
  <si>
    <t>ERAF projekta SAM 3.3.1. Uzņēmējdarbības attīstībai nepieciešamās infrastruktūras attīstībai Carnikavas novada Garciemā" īstenošanai</t>
  </si>
  <si>
    <t>A2/1/19/225</t>
  </si>
  <si>
    <t>P-150/2019</t>
  </si>
  <si>
    <t>13.06.2019.</t>
  </si>
  <si>
    <t>20.05.2049.</t>
  </si>
  <si>
    <t>SAM 5.5.1. Kultūras objektu būvniecība</t>
  </si>
  <si>
    <t>A2/1/19/460</t>
  </si>
  <si>
    <t>P-292/2019</t>
  </si>
  <si>
    <t>11.12.2019.</t>
  </si>
  <si>
    <t>21.11.2039.</t>
  </si>
  <si>
    <t>Centrālbaltijas projekts "Coast4us"</t>
  </si>
  <si>
    <t>A2/1/20/586</t>
  </si>
  <si>
    <t>P-267/2020</t>
  </si>
  <si>
    <t>27.08.2020.</t>
  </si>
  <si>
    <t>20.08.2030.</t>
  </si>
  <si>
    <t>Carnikavas novada pašvaldības transporta infrstruktūras attīstība</t>
  </si>
  <si>
    <t>A2/1/20/676</t>
  </si>
  <si>
    <t>P-338/2020</t>
  </si>
  <si>
    <t>01.10.2020.</t>
  </si>
  <si>
    <t>20.09.2040.</t>
  </si>
  <si>
    <t>KF projekts "Ūdenssaimniecības pakalpojumu attīstība Carnikavā III kārta"</t>
  </si>
  <si>
    <t>A2/1/20/675</t>
  </si>
  <si>
    <t>P-339/2020</t>
  </si>
  <si>
    <t>20.09.2050.</t>
  </si>
  <si>
    <t>ERAF "Carnikavas pamatskolas pārbūve"</t>
  </si>
  <si>
    <t>A2/1/21/10</t>
  </si>
  <si>
    <t>P-4/2021</t>
  </si>
  <si>
    <t>26.01.2021.</t>
  </si>
  <si>
    <t>20.01.2051.</t>
  </si>
  <si>
    <t>LAD  projekts koka laipu taka uz jūru</t>
  </si>
  <si>
    <t>A2/1/21/11</t>
  </si>
  <si>
    <t>P-3/2021</t>
  </si>
  <si>
    <t>20.01.2031.</t>
  </si>
  <si>
    <t>Budžeta un finanšu vadībai (Aprīkojums PII Piejūra)</t>
  </si>
  <si>
    <t>A2/1/21/96</t>
  </si>
  <si>
    <t>P-43/2021</t>
  </si>
  <si>
    <t>25.03.2021.</t>
  </si>
  <si>
    <t>20.03.2024.</t>
  </si>
  <si>
    <t>Stacijas ielas pārbūve</t>
  </si>
  <si>
    <t>A2/1/21/169</t>
  </si>
  <si>
    <t>P-89/2021 COVID</t>
  </si>
  <si>
    <t>30.04.2021.</t>
  </si>
  <si>
    <t>20.04.2051.</t>
  </si>
  <si>
    <t>Autostāvvietas izbūve Karlsona parkā, Garciemā, Carnikavas novadā</t>
  </si>
  <si>
    <t>A2/1/21/231</t>
  </si>
  <si>
    <t>P-164/2021 COVID</t>
  </si>
  <si>
    <t>27.05.2021.</t>
  </si>
  <si>
    <t>20.05.2041.</t>
  </si>
  <si>
    <t>Lielās ielas pārbūve</t>
  </si>
  <si>
    <t>A2/1/21/232</t>
  </si>
  <si>
    <t>P-163/2021 COVID</t>
  </si>
  <si>
    <t>PII Piejūra būvniecības pabeigšana</t>
  </si>
  <si>
    <t>A2/1/21/120</t>
  </si>
  <si>
    <t>P-69/2021 COVID PII</t>
  </si>
  <si>
    <t>08.04.2021.</t>
  </si>
  <si>
    <t>20.03.2051.</t>
  </si>
  <si>
    <t>Prioritārais projekts "PII "Piejūra" būvniecība"</t>
  </si>
  <si>
    <t>A2/1/21/41</t>
  </si>
  <si>
    <t>P-10/2021 PRIO</t>
  </si>
  <si>
    <t>24.02.2021.</t>
  </si>
  <si>
    <t>20.02.2051.</t>
  </si>
  <si>
    <t>Carnikavas pamatskolas infrastruktūras uzlabošana un mācību vides labiekārtošana</t>
  </si>
  <si>
    <t>A2/1/21/776</t>
  </si>
  <si>
    <t>P-583/2021</t>
  </si>
  <si>
    <t>23.12.2021.</t>
  </si>
  <si>
    <t>21.12.2026.</t>
  </si>
  <si>
    <t>Aizvēju ielas Garciemā, dubultā virsmas apstrāde</t>
  </si>
  <si>
    <t>A2/1/22/16
A2/1/22/265</t>
  </si>
  <si>
    <t>P-8/2022
P-175/2022</t>
  </si>
  <si>
    <t>02.02.2022
08.08.2022</t>
  </si>
  <si>
    <t>22.07.2029.</t>
  </si>
  <si>
    <t>Laivu ielas (no Cēlāju ciema līdz jūrai Carnikavā) un tai piegulošā auto stāvlaukuma projektēšana un būvniecība</t>
  </si>
  <si>
    <t>A2/1/22/15</t>
  </si>
  <si>
    <t>P-7/2022</t>
  </si>
  <si>
    <t>20.01.2037.</t>
  </si>
  <si>
    <t>A2/1/22/267</t>
  </si>
  <si>
    <t>P-163/2022</t>
  </si>
  <si>
    <t>20.07.2023.</t>
  </si>
  <si>
    <t>Carnikavas stadiona rekonstrukcija (Prioritārais)</t>
  </si>
  <si>
    <t>A2/1/22/536</t>
  </si>
  <si>
    <t>P-363/2022</t>
  </si>
  <si>
    <t>20.11.2037.</t>
  </si>
  <si>
    <t>Carnikavas stadiona rekonstrukcija (Covid19)</t>
  </si>
  <si>
    <t>A2/1/22/538</t>
  </si>
  <si>
    <t>P-361/2022</t>
  </si>
  <si>
    <t>22.11.2032.</t>
  </si>
  <si>
    <t>Plānots</t>
  </si>
  <si>
    <t xml:space="preserve"> "Auto stāvlaukuma Lilastē paplašināšana, atpūtas vietu, labiekārtojuma, labierīcību, kempinga iespēju projektēšana un izbūve"</t>
  </si>
  <si>
    <t>A2/1/23/103</t>
  </si>
  <si>
    <t>P-57/2023</t>
  </si>
  <si>
    <t>09.05.2023.</t>
  </si>
  <si>
    <t>Pamatsumma un % kopā:</t>
  </si>
  <si>
    <t>Values</t>
  </si>
  <si>
    <t>Aizņēmumu pamatsummas atmaksa:</t>
  </si>
  <si>
    <t>Aizņēmumu procentu maksājumi:</t>
  </si>
  <si>
    <t>Aizņēmumu saistības kopā:</t>
  </si>
  <si>
    <t>Aizdevumi kopā</t>
  </si>
  <si>
    <t>Citas ilgtermiņa saistības.</t>
  </si>
  <si>
    <t>Saistību mērķis</t>
  </si>
  <si>
    <t>% likme, izmaiņas ar 2015 uz gadu</t>
  </si>
  <si>
    <t>Galvojums SIA "Ādažu ūdens"</t>
  </si>
  <si>
    <t>03.2017.</t>
  </si>
  <si>
    <t>03.2032</t>
  </si>
  <si>
    <t xml:space="preserve">Līzings - jauna automašīna </t>
  </si>
  <si>
    <t>02.01.2020.</t>
  </si>
  <si>
    <t>30.12.2024.</t>
  </si>
  <si>
    <t>Volvo V60</t>
  </si>
  <si>
    <t>Līzings - frontālais iekrāvējs</t>
  </si>
  <si>
    <t>16.11.2020.</t>
  </si>
  <si>
    <t>20.11.2025.</t>
  </si>
  <si>
    <t>Līzings - mikroautobuss</t>
  </si>
  <si>
    <t>27.04.2021.</t>
  </si>
  <si>
    <t>27.04.2025.</t>
  </si>
  <si>
    <t>04.04.2022.</t>
  </si>
  <si>
    <t>20.03.2052.</t>
  </si>
  <si>
    <t>Līzings - skolēnu autobuss</t>
  </si>
  <si>
    <t>2023.</t>
  </si>
  <si>
    <t>Kopā citas ilgtermiņa saistības Ādaži:</t>
  </si>
  <si>
    <t>Aizdevumi un citas ilgtemiņa sistības kopā:</t>
  </si>
  <si>
    <t>x</t>
  </si>
  <si>
    <t>Saistību apmērs % no pamatbudžeta ieņēmumiem</t>
  </si>
  <si>
    <t>Max saistību papildus summa</t>
  </si>
  <si>
    <t>Kopējais saistību  summa</t>
  </si>
  <si>
    <t xml:space="preserve">Pašvaldības pamatbudžeta ieņēmumi bez mērķdotācijām un iemaksām pašvaldību </t>
  </si>
  <si>
    <t>finanšu  izlīdzināšanas fondā saimnieciskajā gadā:</t>
  </si>
  <si>
    <t>2023. gadā</t>
  </si>
  <si>
    <t>2024. gadā</t>
  </si>
  <si>
    <t xml:space="preserve"> 2025. gadā</t>
  </si>
  <si>
    <t>2026. gadā</t>
  </si>
  <si>
    <t>2027. gadā</t>
  </si>
  <si>
    <t xml:space="preserve"> 2028. gadā</t>
  </si>
  <si>
    <t>2029. gadā</t>
  </si>
  <si>
    <t>Aizņēmumu pamatsummas atmaksa - kopā</t>
  </si>
  <si>
    <t>Aizņēmumu procentu maksājumi - kopā</t>
  </si>
  <si>
    <t>Galvojumi un citas ilgtermiņa saistības - kopā:</t>
  </si>
  <si>
    <t>Domes priekšsēdētāja</t>
  </si>
  <si>
    <t>K.Miķelsone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</si>
</sst>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0.000%"/>
    <numFmt numFmtId="167" formatCode="#,##0.000"/>
  </numFmts>
  <fonts count="78"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b/>
      <sz val="20"/>
      <color indexed="8"/>
      <name val="Times New Roman"/>
      <family val="1"/>
      <charset val="186"/>
    </font>
    <font>
      <sz val="9"/>
      <color theme="1"/>
      <name val="Arial"/>
      <family val="2"/>
      <charset val="186"/>
    </font>
    <font>
      <sz val="11"/>
      <color indexed="8"/>
      <name val="Calibri"/>
      <family val="2"/>
      <charset val="186"/>
    </font>
    <font>
      <sz val="11"/>
      <color rgb="FF7030A0"/>
      <name val="Times New Roman"/>
      <family val="1"/>
      <charset val="186"/>
    </font>
    <font>
      <b/>
      <sz val="16"/>
      <color theme="1"/>
      <name val="Times New Roman"/>
      <family val="1"/>
      <charset val="186"/>
    </font>
    <font>
      <b/>
      <sz val="11"/>
      <name val="Times New Roman"/>
      <family val="1"/>
      <charset val="186"/>
    </font>
    <font>
      <b/>
      <sz val="11"/>
      <color rgb="FF7030A0"/>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1"/>
      <color theme="8" tint="-0.249977111117893"/>
      <name val="Times New Roman"/>
      <family val="1"/>
      <charset val="186"/>
    </font>
    <font>
      <sz val="11"/>
      <color rgb="FFFF0000"/>
      <name val="Times New Roman"/>
      <family val="1"/>
      <charset val="186"/>
    </font>
    <font>
      <sz val="11"/>
      <color indexed="10"/>
      <name val="Times New Roman"/>
      <family val="1"/>
      <charset val="186"/>
    </font>
    <font>
      <i/>
      <sz val="11"/>
      <name val="Times New Roman"/>
      <family val="1"/>
      <charset val="186"/>
    </font>
    <font>
      <i/>
      <sz val="11"/>
      <color rgb="FF7030A0"/>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9"/>
      <color indexed="81"/>
      <name val="Tahoma"/>
      <family val="2"/>
      <charset val="186"/>
    </font>
    <font>
      <sz val="9"/>
      <color indexed="81"/>
      <name val="Tahoma"/>
      <family val="2"/>
      <charset val="186"/>
    </font>
    <font>
      <b/>
      <sz val="10"/>
      <name val="Times New Roman"/>
      <family val="1"/>
      <charset val="186"/>
    </font>
    <font>
      <sz val="9"/>
      <name val="Times New Roman"/>
      <family val="1"/>
      <charset val="186"/>
    </font>
    <font>
      <sz val="8"/>
      <name val="Times New Roman"/>
      <family val="1"/>
    </font>
    <font>
      <i/>
      <sz val="9"/>
      <color theme="3"/>
      <name val="Times New Roman"/>
      <family val="1"/>
      <charset val="186"/>
    </font>
    <font>
      <sz val="9"/>
      <color rgb="FFFF0000"/>
      <name val="Times New Roman"/>
      <family val="1"/>
      <charset val="186"/>
    </font>
    <font>
      <sz val="9"/>
      <color rgb="FFC00000"/>
      <name val="Times New Roman"/>
      <family val="1"/>
      <charset val="186"/>
    </font>
    <font>
      <sz val="11"/>
      <name val="Calibri"/>
      <family val="2"/>
      <charset val="186"/>
      <scheme val="minor"/>
    </font>
    <font>
      <sz val="8"/>
      <name val="Times New Roman"/>
      <family val="1"/>
      <charset val="186"/>
    </font>
    <font>
      <b/>
      <sz val="14"/>
      <color theme="1"/>
      <name val="Times New Roman"/>
      <family val="1"/>
      <charset val="186"/>
    </font>
    <font>
      <b/>
      <sz val="9"/>
      <color rgb="FFC00000"/>
      <name val="Times New Roman"/>
      <family val="1"/>
      <charset val="186"/>
    </font>
    <font>
      <b/>
      <sz val="9"/>
      <name val="Times New Roman"/>
      <family val="1"/>
      <charset val="186"/>
    </font>
    <font>
      <b/>
      <i/>
      <sz val="10"/>
      <name val="Times New Roman"/>
      <family val="1"/>
      <charset val="186"/>
    </font>
    <font>
      <i/>
      <sz val="11"/>
      <color theme="3"/>
      <name val="Calibri"/>
      <family val="2"/>
      <charset val="186"/>
      <scheme val="minor"/>
    </font>
    <font>
      <b/>
      <sz val="9"/>
      <color rgb="FFFF0000"/>
      <name val="Times New Roman"/>
      <family val="1"/>
      <charset val="186"/>
    </font>
    <font>
      <b/>
      <sz val="8"/>
      <name val="Times New Roman"/>
      <family val="1"/>
      <charset val="186"/>
    </font>
    <font>
      <b/>
      <sz val="8"/>
      <name val="Times New Roman"/>
      <family val="1"/>
    </font>
    <font>
      <b/>
      <i/>
      <sz val="8"/>
      <name val="Times New Roman"/>
      <family val="1"/>
      <charset val="186"/>
    </font>
    <font>
      <b/>
      <sz val="8"/>
      <color rgb="FFC00000"/>
      <name val="Times New Roman"/>
      <family val="1"/>
      <charset val="186"/>
    </font>
    <font>
      <u/>
      <sz val="8"/>
      <color rgb="FFFF0000"/>
      <name val="Times New Roman"/>
      <family val="1"/>
      <charset val="186"/>
    </font>
    <font>
      <i/>
      <sz val="8"/>
      <name val="Times New Roman"/>
      <family val="1"/>
      <charset val="186"/>
    </font>
    <font>
      <i/>
      <sz val="11"/>
      <name val="Calibri"/>
      <family val="2"/>
      <charset val="186"/>
      <scheme val="minor"/>
    </font>
    <font>
      <i/>
      <sz val="8"/>
      <name val="Times New Roman"/>
      <family val="1"/>
    </font>
    <font>
      <i/>
      <sz val="11"/>
      <color rgb="FFC00000"/>
      <name val="Calibri"/>
      <family val="2"/>
      <charset val="186"/>
      <scheme val="minor"/>
    </font>
    <font>
      <sz val="8"/>
      <color rgb="FFC00000"/>
      <name val="Times New Roman"/>
      <family val="1"/>
      <charset val="186"/>
    </font>
    <font>
      <b/>
      <sz val="8"/>
      <color rgb="FFFF0000"/>
      <name val="Times New Roman"/>
      <family val="1"/>
      <charset val="186"/>
    </font>
    <font>
      <b/>
      <sz val="10"/>
      <name val="Times New Roman"/>
      <family val="1"/>
    </font>
    <font>
      <sz val="8"/>
      <color rgb="FFFF0000"/>
      <name val="Times New Roman"/>
      <family val="1"/>
      <charset val="186"/>
    </font>
    <font>
      <b/>
      <sz val="10"/>
      <name val="Arial"/>
      <family val="2"/>
      <charset val="186"/>
    </font>
    <font>
      <sz val="11"/>
      <color rgb="FF00B050"/>
      <name val="Times New Roman"/>
      <family val="1"/>
      <charset val="186"/>
    </font>
    <font>
      <i/>
      <sz val="9"/>
      <name val="Times New Roman"/>
      <family val="1"/>
      <charset val="186"/>
    </font>
    <font>
      <i/>
      <sz val="8"/>
      <color theme="3"/>
      <name val="Times New Roman"/>
      <family val="1"/>
      <charset val="186"/>
    </font>
    <font>
      <sz val="7"/>
      <color theme="2" tint="-0.499984740745262"/>
      <name val="Times New Roman"/>
      <family val="1"/>
      <charset val="186"/>
    </font>
    <font>
      <b/>
      <sz val="8"/>
      <color theme="4"/>
      <name val="Times New Roman"/>
      <family val="1"/>
      <charset val="186"/>
    </font>
    <font>
      <b/>
      <sz val="10"/>
      <color theme="1"/>
      <name val="Calibri"/>
      <family val="2"/>
      <charset val="186"/>
      <scheme val="minor"/>
    </font>
    <font>
      <b/>
      <i/>
      <sz val="8"/>
      <color theme="3"/>
      <name val="Times New Roman"/>
      <family val="1"/>
      <charset val="186"/>
    </font>
    <font>
      <b/>
      <sz val="9"/>
      <color theme="3"/>
      <name val="Times New Roman"/>
      <family val="1"/>
      <charset val="186"/>
    </font>
    <font>
      <b/>
      <i/>
      <sz val="9"/>
      <color theme="3"/>
      <name val="Times New Roman"/>
      <family val="1"/>
      <charset val="186"/>
    </font>
    <font>
      <i/>
      <sz val="9"/>
      <color indexed="56"/>
      <name val="Times New Roman"/>
      <family val="1"/>
      <charset val="186"/>
    </font>
    <font>
      <sz val="8"/>
      <color theme="1"/>
      <name val="Times New Roman"/>
      <family val="1"/>
      <charset val="186"/>
    </font>
    <font>
      <sz val="8"/>
      <color indexed="56"/>
      <name val="Times New Roman"/>
      <family val="1"/>
    </font>
    <font>
      <i/>
      <sz val="8"/>
      <color theme="3"/>
      <name val="Times New Roman"/>
      <family val="1"/>
    </font>
    <font>
      <sz val="8"/>
      <color theme="1"/>
      <name val="Times New Roman"/>
      <family val="1"/>
    </font>
    <font>
      <i/>
      <sz val="14"/>
      <color theme="3"/>
      <name val="Times New Roman"/>
      <family val="1"/>
      <charset val="186"/>
    </font>
    <font>
      <sz val="14"/>
      <name val="Times New Roman"/>
      <family val="1"/>
      <charset val="186"/>
    </font>
    <font>
      <sz val="14"/>
      <color rgb="FFFF0000"/>
      <name val="Times New Roman"/>
      <family val="1"/>
      <charset val="186"/>
    </font>
    <font>
      <sz val="14"/>
      <color rgb="FFC00000"/>
      <name val="Times New Roman"/>
      <family val="1"/>
      <charset val="186"/>
    </font>
    <font>
      <sz val="9"/>
      <color theme="4"/>
      <name val="Times New Roman"/>
      <family val="1"/>
      <charset val="186"/>
    </font>
    <font>
      <sz val="14"/>
      <color theme="4"/>
      <name val="Times New Roman"/>
      <family val="1"/>
      <charset val="186"/>
    </font>
    <font>
      <b/>
      <sz val="10"/>
      <color indexed="56"/>
      <name val="Times New Roman"/>
      <family val="1"/>
      <charset val="186"/>
    </font>
    <font>
      <sz val="9"/>
      <color indexed="56"/>
      <name val="Times New Roman"/>
      <family val="1"/>
      <charset val="186"/>
    </font>
    <font>
      <b/>
      <sz val="9"/>
      <color indexed="56"/>
      <name val="Times New Roman"/>
      <family val="1"/>
      <charset val="186"/>
    </font>
    <font>
      <sz val="8"/>
      <color indexed="56"/>
      <name val="Times New Roman"/>
      <family val="1"/>
      <charset val="186"/>
    </font>
  </fonts>
  <fills count="24">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indexed="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9" tint="0.39997558519241921"/>
        <bgColor indexed="64"/>
      </patternFill>
    </fill>
  </fills>
  <borders count="7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auto="1"/>
      </left>
      <right style="thin">
        <color auto="1"/>
      </right>
      <top style="thin">
        <color auto="1"/>
      </top>
      <bottom/>
      <diagonal/>
    </border>
    <border>
      <left/>
      <right/>
      <top style="thin">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55"/>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thin">
        <color indexed="55"/>
      </bottom>
      <diagonal/>
    </border>
    <border>
      <left style="medium">
        <color indexed="64"/>
      </left>
      <right style="medium">
        <color indexed="64"/>
      </right>
      <top/>
      <bottom/>
      <diagonal/>
    </border>
    <border>
      <left style="medium">
        <color indexed="64"/>
      </left>
      <right/>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medium">
        <color indexed="64"/>
      </bottom>
      <diagonal/>
    </border>
    <border>
      <left/>
      <right/>
      <top style="medium">
        <color indexed="64"/>
      </top>
      <bottom/>
      <diagonal/>
    </border>
    <border>
      <left/>
      <right style="thin">
        <color theme="5" tint="-0.249977111117893"/>
      </right>
      <top/>
      <bottom/>
      <diagonal/>
    </border>
    <border>
      <left style="medium">
        <color theme="5" tint="-0.249977111117893"/>
      </left>
      <right style="medium">
        <color theme="5" tint="-0.249977111117893"/>
      </right>
      <top style="medium">
        <color theme="5" tint="-0.249977111117893"/>
      </top>
      <bottom/>
      <diagonal/>
    </border>
    <border>
      <left/>
      <right/>
      <top/>
      <bottom style="double">
        <color indexed="64"/>
      </bottom>
      <diagonal/>
    </border>
    <border>
      <left style="medium">
        <color theme="5" tint="-0.249977111117893"/>
      </left>
      <right style="medium">
        <color theme="5" tint="-0.249977111117893"/>
      </right>
      <top/>
      <bottom style="double">
        <color indexed="64"/>
      </bottom>
      <diagonal/>
    </border>
    <border>
      <left style="medium">
        <color theme="5" tint="-0.249977111117893"/>
      </left>
      <right style="medium">
        <color theme="5" tint="-0.249977111117893"/>
      </right>
      <top/>
      <bottom/>
      <diagonal/>
    </border>
    <border>
      <left style="medium">
        <color theme="5" tint="-0.249977111117893"/>
      </left>
      <right style="medium">
        <color theme="5" tint="-0.249977111117893"/>
      </right>
      <top/>
      <bottom style="medium">
        <color theme="5" tint="-0.249977111117893"/>
      </bottom>
      <diagonal/>
    </border>
    <border>
      <left style="thin">
        <color indexed="64"/>
      </left>
      <right/>
      <top style="medium">
        <color indexed="64"/>
      </top>
      <bottom style="thin">
        <color indexed="55"/>
      </bottom>
      <diagonal/>
    </border>
    <border>
      <left/>
      <right/>
      <top style="medium">
        <color indexed="64"/>
      </top>
      <bottom style="medium">
        <color indexed="64"/>
      </bottom>
      <diagonal/>
    </border>
  </borders>
  <cellStyleXfs count="17">
    <xf numFmtId="0" fontId="0" fillId="0" borderId="0"/>
    <xf numFmtId="43" fontId="6"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43" fontId="7" fillId="0" borderId="0" applyFont="0" applyFill="0" applyBorder="0" applyAlignment="0" applyProtection="0"/>
    <xf numFmtId="0" fontId="12" fillId="0" borderId="0" applyNumberFormat="0" applyFill="0" applyBorder="0" applyAlignment="0" applyProtection="0"/>
    <xf numFmtId="0" fontId="13" fillId="0" borderId="0"/>
    <xf numFmtId="9" fontId="7" fillId="0" borderId="0" applyFont="0" applyFill="0" applyBorder="0" applyAlignment="0" applyProtection="0"/>
    <xf numFmtId="0" fontId="13" fillId="0" borderId="0"/>
    <xf numFmtId="43" fontId="13" fillId="0" borderId="0" applyFont="0" applyFill="0" applyBorder="0" applyAlignment="0" applyProtection="0"/>
    <xf numFmtId="43" fontId="7" fillId="0" borderId="0" applyFont="0" applyFill="0" applyBorder="0" applyAlignment="0" applyProtection="0"/>
    <xf numFmtId="0" fontId="1" fillId="0" borderId="0"/>
    <xf numFmtId="9" fontId="13" fillId="0" borderId="0" applyFont="0" applyFill="0" applyBorder="0" applyAlignment="0" applyProtection="0"/>
    <xf numFmtId="0" fontId="13" fillId="0" borderId="0"/>
    <xf numFmtId="0" fontId="7" fillId="0" borderId="0"/>
  </cellStyleXfs>
  <cellXfs count="704">
    <xf numFmtId="0" fontId="0" fillId="0" borderId="0" xfId="0"/>
    <xf numFmtId="0" fontId="4" fillId="0" borderId="0" xfId="3" applyFont="1"/>
    <xf numFmtId="0" fontId="5" fillId="0" borderId="0" xfId="4" applyFont="1"/>
    <xf numFmtId="0" fontId="4" fillId="0" borderId="0" xfId="3" applyFont="1" applyAlignment="1">
      <alignment wrapText="1"/>
    </xf>
    <xf numFmtId="3" fontId="4" fillId="0" borderId="0" xfId="3" applyNumberFormat="1" applyFont="1"/>
    <xf numFmtId="164" fontId="4" fillId="0" borderId="0" xfId="1" applyNumberFormat="1" applyFont="1" applyAlignment="1">
      <alignment wrapText="1"/>
    </xf>
    <xf numFmtId="9" fontId="4" fillId="0" borderId="0" xfId="5" applyFont="1" applyAlignment="1">
      <alignment wrapText="1"/>
    </xf>
    <xf numFmtId="164" fontId="4" fillId="0" borderId="0" xfId="1" applyNumberFormat="1" applyFont="1"/>
    <xf numFmtId="1" fontId="4" fillId="0" borderId="0" xfId="5" applyNumberFormat="1" applyFont="1" applyFill="1"/>
    <xf numFmtId="164" fontId="10" fillId="0" borderId="0" xfId="6" applyNumberFormat="1" applyFont="1"/>
    <xf numFmtId="164" fontId="10" fillId="0" borderId="0" xfId="1" applyNumberFormat="1" applyFont="1"/>
    <xf numFmtId="9" fontId="4" fillId="0" borderId="0" xfId="5" applyFont="1"/>
    <xf numFmtId="0" fontId="12" fillId="0" borderId="0" xfId="7"/>
    <xf numFmtId="0" fontId="10" fillId="0" borderId="1" xfId="3" applyFont="1" applyBorder="1" applyAlignment="1">
      <alignment horizontal="center" vertical="center"/>
    </xf>
    <xf numFmtId="0" fontId="10" fillId="0" borderId="2" xfId="3" applyFont="1" applyBorder="1" applyAlignment="1">
      <alignment horizontal="center" vertical="center" wrapText="1"/>
    </xf>
    <xf numFmtId="0" fontId="10" fillId="0" borderId="3" xfId="8" applyFont="1" applyBorder="1" applyAlignment="1">
      <alignment horizontal="center" vertical="center" wrapText="1"/>
    </xf>
    <xf numFmtId="164" fontId="10" fillId="0" borderId="3" xfId="1" applyNumberFormat="1" applyFont="1" applyBorder="1" applyAlignment="1">
      <alignment horizontal="center" vertical="center" wrapText="1"/>
    </xf>
    <xf numFmtId="9" fontId="10" fillId="0" borderId="3" xfId="5" applyFont="1" applyBorder="1" applyAlignment="1">
      <alignment horizontal="center" vertical="center" wrapText="1"/>
    </xf>
    <xf numFmtId="0" fontId="10" fillId="2" borderId="4" xfId="3" applyFont="1" applyFill="1" applyBorder="1"/>
    <xf numFmtId="0" fontId="10" fillId="2" borderId="5" xfId="3" applyFont="1" applyFill="1" applyBorder="1" applyAlignment="1">
      <alignment wrapText="1"/>
    </xf>
    <xf numFmtId="164" fontId="10" fillId="2" borderId="6" xfId="1" applyNumberFormat="1" applyFont="1" applyFill="1" applyBorder="1"/>
    <xf numFmtId="3" fontId="10" fillId="2" borderId="6" xfId="3" applyNumberFormat="1" applyFont="1" applyFill="1" applyBorder="1"/>
    <xf numFmtId="9" fontId="4" fillId="2" borderId="6" xfId="5" applyFont="1" applyFill="1" applyBorder="1" applyAlignment="1">
      <alignment wrapText="1"/>
    </xf>
    <xf numFmtId="0" fontId="10" fillId="3" borderId="4" xfId="3" quotePrefix="1" applyFont="1" applyFill="1" applyBorder="1"/>
    <xf numFmtId="0" fontId="10" fillId="3" borderId="5" xfId="3" applyFont="1" applyFill="1" applyBorder="1" applyAlignment="1">
      <alignment wrapText="1"/>
    </xf>
    <xf numFmtId="3" fontId="10" fillId="3" borderId="6" xfId="3" applyNumberFormat="1" applyFont="1" applyFill="1" applyBorder="1"/>
    <xf numFmtId="164" fontId="10" fillId="3" borderId="6" xfId="1" applyNumberFormat="1" applyFont="1" applyFill="1" applyBorder="1"/>
    <xf numFmtId="9" fontId="10" fillId="3" borderId="6" xfId="5" applyFont="1" applyFill="1" applyBorder="1"/>
    <xf numFmtId="0" fontId="14" fillId="0" borderId="0" xfId="3" applyFont="1"/>
    <xf numFmtId="0" fontId="4" fillId="0" borderId="7" xfId="3" applyFont="1" applyBorder="1" applyAlignment="1">
      <alignment horizontal="left" indent="1"/>
    </xf>
    <xf numFmtId="0" fontId="4" fillId="0" borderId="8" xfId="3" applyFont="1" applyBorder="1" applyAlignment="1">
      <alignment horizontal="left" wrapText="1" indent="2"/>
    </xf>
    <xf numFmtId="3" fontId="4" fillId="0" borderId="9" xfId="3" applyNumberFormat="1" applyFont="1" applyBorder="1"/>
    <xf numFmtId="164" fontId="4" fillId="0" borderId="9" xfId="1" applyNumberFormat="1" applyFont="1" applyBorder="1"/>
    <xf numFmtId="9" fontId="4" fillId="0" borderId="9" xfId="5" applyFont="1" applyFill="1" applyBorder="1"/>
    <xf numFmtId="3" fontId="8" fillId="0" borderId="9" xfId="3" applyNumberFormat="1" applyFont="1" applyBorder="1"/>
    <xf numFmtId="0" fontId="10" fillId="3" borderId="7" xfId="3" applyFont="1" applyFill="1" applyBorder="1"/>
    <xf numFmtId="0" fontId="10" fillId="3" borderId="8" xfId="3" applyFont="1" applyFill="1" applyBorder="1" applyAlignment="1">
      <alignment wrapText="1"/>
    </xf>
    <xf numFmtId="3" fontId="10" fillId="3" borderId="9" xfId="3" applyNumberFormat="1" applyFont="1" applyFill="1" applyBorder="1"/>
    <xf numFmtId="164" fontId="10" fillId="3" borderId="9" xfId="1" applyNumberFormat="1" applyFont="1" applyFill="1" applyBorder="1"/>
    <xf numFmtId="9" fontId="10" fillId="3" borderId="9" xfId="5" applyFont="1" applyFill="1" applyBorder="1"/>
    <xf numFmtId="9" fontId="4" fillId="0" borderId="9" xfId="5" applyFont="1" applyBorder="1"/>
    <xf numFmtId="9" fontId="4" fillId="0" borderId="10" xfId="5" applyFont="1" applyFill="1" applyBorder="1"/>
    <xf numFmtId="0" fontId="2" fillId="0" borderId="0" xfId="3"/>
    <xf numFmtId="9" fontId="4" fillId="0" borderId="10" xfId="5" applyFont="1" applyFill="1" applyBorder="1" applyAlignment="1">
      <alignment wrapText="1"/>
    </xf>
    <xf numFmtId="0" fontId="15" fillId="0" borderId="7" xfId="3" applyFont="1" applyBorder="1" applyAlignment="1">
      <alignment horizontal="left" indent="2"/>
    </xf>
    <xf numFmtId="0" fontId="15" fillId="0" borderId="8" xfId="3" applyFont="1" applyBorder="1" applyAlignment="1">
      <alignment horizontal="left" wrapText="1" indent="3"/>
    </xf>
    <xf numFmtId="0" fontId="14" fillId="0" borderId="0" xfId="3" quotePrefix="1" applyFont="1"/>
    <xf numFmtId="9" fontId="4" fillId="3" borderId="9" xfId="5" applyFont="1" applyFill="1" applyBorder="1" applyAlignment="1">
      <alignment wrapText="1"/>
    </xf>
    <xf numFmtId="0" fontId="4" fillId="4" borderId="8" xfId="3" applyFont="1" applyFill="1" applyBorder="1" applyAlignment="1">
      <alignment horizontal="left" wrapText="1" indent="2"/>
    </xf>
    <xf numFmtId="9" fontId="4" fillId="0" borderId="9" xfId="5" applyFont="1" applyFill="1" applyBorder="1" applyAlignment="1">
      <alignment wrapText="1"/>
    </xf>
    <xf numFmtId="9" fontId="8" fillId="0" borderId="9" xfId="5" applyFont="1" applyFill="1" applyBorder="1" applyAlignment="1">
      <alignment wrapText="1"/>
    </xf>
    <xf numFmtId="0" fontId="10" fillId="3" borderId="7" xfId="3" quotePrefix="1" applyFont="1" applyFill="1" applyBorder="1"/>
    <xf numFmtId="0" fontId="4" fillId="2" borderId="7" xfId="3" applyFont="1" applyFill="1" applyBorder="1" applyAlignment="1">
      <alignment horizontal="left" indent="1"/>
    </xf>
    <xf numFmtId="0" fontId="4" fillId="2" borderId="8" xfId="3" applyFont="1" applyFill="1" applyBorder="1" applyAlignment="1">
      <alignment horizontal="left" wrapText="1" indent="2"/>
    </xf>
    <xf numFmtId="3" fontId="4" fillId="2" borderId="9" xfId="3" applyNumberFormat="1" applyFont="1" applyFill="1" applyBorder="1"/>
    <xf numFmtId="3" fontId="4" fillId="5" borderId="9" xfId="3" applyNumberFormat="1" applyFont="1" applyFill="1" applyBorder="1"/>
    <xf numFmtId="164" fontId="4" fillId="5" borderId="9" xfId="1" applyNumberFormat="1" applyFont="1" applyFill="1" applyBorder="1"/>
    <xf numFmtId="3" fontId="4" fillId="5" borderId="9" xfId="3" applyNumberFormat="1" applyFont="1" applyFill="1" applyBorder="1" applyAlignment="1">
      <alignment wrapText="1"/>
    </xf>
    <xf numFmtId="3" fontId="15" fillId="6" borderId="9" xfId="3" applyNumberFormat="1" applyFont="1" applyFill="1" applyBorder="1"/>
    <xf numFmtId="164" fontId="15" fillId="6" borderId="9" xfId="1" applyNumberFormat="1" applyFont="1" applyFill="1" applyBorder="1"/>
    <xf numFmtId="9" fontId="15" fillId="6" borderId="9" xfId="5" applyFont="1" applyFill="1" applyBorder="1" applyAlignment="1">
      <alignment wrapText="1"/>
    </xf>
    <xf numFmtId="0" fontId="15" fillId="0" borderId="0" xfId="3" applyFont="1"/>
    <xf numFmtId="3" fontId="15" fillId="7" borderId="9" xfId="3" applyNumberFormat="1" applyFont="1" applyFill="1" applyBorder="1"/>
    <xf numFmtId="9" fontId="15" fillId="7" borderId="9" xfId="5" applyFont="1" applyFill="1" applyBorder="1"/>
    <xf numFmtId="0" fontId="4" fillId="0" borderId="0" xfId="3" quotePrefix="1" applyFont="1"/>
    <xf numFmtId="0" fontId="4" fillId="9" borderId="8" xfId="3" applyFont="1" applyFill="1" applyBorder="1" applyAlignment="1">
      <alignment horizontal="left" wrapText="1" indent="2"/>
    </xf>
    <xf numFmtId="164" fontId="4" fillId="2" borderId="9" xfId="1" applyNumberFormat="1" applyFont="1" applyFill="1" applyBorder="1"/>
    <xf numFmtId="9" fontId="4" fillId="2" borderId="9" xfId="5" applyFont="1" applyFill="1" applyBorder="1" applyAlignment="1">
      <alignment wrapText="1"/>
    </xf>
    <xf numFmtId="3" fontId="8" fillId="2" borderId="9" xfId="3" applyNumberFormat="1" applyFont="1" applyFill="1" applyBorder="1"/>
    <xf numFmtId="0" fontId="4" fillId="0" borderId="8" xfId="3" applyFont="1" applyBorder="1" applyAlignment="1">
      <alignment horizontal="left" wrapText="1" indent="3"/>
    </xf>
    <xf numFmtId="9" fontId="4" fillId="11" borderId="9" xfId="5" applyFont="1" applyFill="1" applyBorder="1" applyAlignment="1">
      <alignment wrapText="1"/>
    </xf>
    <xf numFmtId="0" fontId="17" fillId="0" borderId="0" xfId="3" applyFont="1"/>
    <xf numFmtId="9" fontId="4" fillId="0" borderId="13" xfId="5" applyFont="1" applyFill="1" applyBorder="1"/>
    <xf numFmtId="0" fontId="4" fillId="0" borderId="0" xfId="3" quotePrefix="1" applyFont="1" applyAlignment="1">
      <alignment wrapText="1"/>
    </xf>
    <xf numFmtId="0" fontId="4" fillId="9" borderId="8" xfId="3" applyFont="1" applyFill="1" applyBorder="1" applyAlignment="1">
      <alignment horizontal="left" wrapText="1" indent="3"/>
    </xf>
    <xf numFmtId="0" fontId="4" fillId="0" borderId="5" xfId="3" applyFont="1" applyBorder="1" applyAlignment="1">
      <alignment horizontal="left" wrapText="1" indent="3"/>
    </xf>
    <xf numFmtId="0" fontId="4" fillId="0" borderId="5" xfId="3" applyFont="1" applyBorder="1" applyAlignment="1">
      <alignment horizontal="left" wrapText="1" indent="2"/>
    </xf>
    <xf numFmtId="0" fontId="4" fillId="4" borderId="7" xfId="3" applyFont="1" applyFill="1" applyBorder="1" applyAlignment="1">
      <alignment horizontal="left" indent="2"/>
    </xf>
    <xf numFmtId="0" fontId="4" fillId="4" borderId="8" xfId="3" applyFont="1" applyFill="1" applyBorder="1" applyAlignment="1">
      <alignment horizontal="left" wrapText="1" indent="3"/>
    </xf>
    <xf numFmtId="1" fontId="4" fillId="0" borderId="9" xfId="5" applyNumberFormat="1" applyFont="1" applyFill="1" applyBorder="1"/>
    <xf numFmtId="3" fontId="4" fillId="12" borderId="9" xfId="3" applyNumberFormat="1" applyFont="1" applyFill="1" applyBorder="1"/>
    <xf numFmtId="0" fontId="10" fillId="0" borderId="14" xfId="3" applyFont="1" applyBorder="1"/>
    <xf numFmtId="0" fontId="10" fillId="0" borderId="15" xfId="3" applyFont="1" applyBorder="1" applyAlignment="1">
      <alignment horizontal="right" wrapText="1"/>
    </xf>
    <xf numFmtId="3" fontId="10" fillId="0" borderId="3" xfId="3" applyNumberFormat="1" applyFont="1" applyBorder="1"/>
    <xf numFmtId="164" fontId="10" fillId="0" borderId="3" xfId="1" applyNumberFormat="1" applyFont="1" applyBorder="1"/>
    <xf numFmtId="9" fontId="10" fillId="0" borderId="3" xfId="5" applyFont="1" applyBorder="1"/>
    <xf numFmtId="0" fontId="10" fillId="0" borderId="16" xfId="3" quotePrefix="1" applyFont="1" applyBorder="1"/>
    <xf numFmtId="0" fontId="10" fillId="0" borderId="17" xfId="3" applyFont="1" applyBorder="1" applyAlignment="1">
      <alignment wrapText="1"/>
    </xf>
    <xf numFmtId="3" fontId="10" fillId="0" borderId="18" xfId="3" applyNumberFormat="1" applyFont="1" applyBorder="1"/>
    <xf numFmtId="164" fontId="10" fillId="0" borderId="18" xfId="1" applyNumberFormat="1" applyFont="1" applyBorder="1"/>
    <xf numFmtId="9" fontId="10" fillId="0" borderId="18" xfId="5" applyFont="1" applyFill="1" applyBorder="1"/>
    <xf numFmtId="0" fontId="10" fillId="3" borderId="19" xfId="3" applyFont="1" applyFill="1" applyBorder="1" applyAlignment="1">
      <alignment wrapText="1"/>
    </xf>
    <xf numFmtId="3" fontId="10" fillId="3" borderId="13" xfId="3" applyNumberFormat="1" applyFont="1" applyFill="1" applyBorder="1"/>
    <xf numFmtId="164" fontId="10" fillId="3" borderId="13" xfId="1" applyNumberFormat="1" applyFont="1" applyFill="1" applyBorder="1"/>
    <xf numFmtId="49" fontId="4" fillId="0" borderId="19" xfId="3" applyNumberFormat="1" applyFont="1" applyBorder="1" applyAlignment="1">
      <alignment horizontal="left" wrapText="1" indent="4"/>
    </xf>
    <xf numFmtId="3" fontId="4" fillId="0" borderId="13" xfId="3" applyNumberFormat="1" applyFont="1" applyBorder="1"/>
    <xf numFmtId="3" fontId="4" fillId="0" borderId="19" xfId="3" applyNumberFormat="1" applyFont="1" applyBorder="1"/>
    <xf numFmtId="164" fontId="4" fillId="0" borderId="13" xfId="1" applyNumberFormat="1" applyFont="1" applyBorder="1"/>
    <xf numFmtId="3" fontId="4" fillId="0" borderId="20" xfId="3" applyNumberFormat="1" applyFont="1" applyBorder="1"/>
    <xf numFmtId="9" fontId="4" fillId="0" borderId="21" xfId="5" applyFont="1" applyFill="1" applyBorder="1"/>
    <xf numFmtId="49" fontId="4" fillId="0" borderId="22" xfId="3" applyNumberFormat="1" applyFont="1" applyBorder="1" applyAlignment="1">
      <alignment horizontal="left" wrapText="1" indent="4"/>
    </xf>
    <xf numFmtId="3" fontId="4" fillId="0" borderId="23" xfId="3" applyNumberFormat="1" applyFont="1" applyBorder="1"/>
    <xf numFmtId="164" fontId="4" fillId="0" borderId="23" xfId="1" applyNumberFormat="1" applyFont="1" applyBorder="1"/>
    <xf numFmtId="49" fontId="4" fillId="0" borderId="8" xfId="3" applyNumberFormat="1" applyFont="1" applyBorder="1" applyAlignment="1">
      <alignment horizontal="left" wrapText="1" indent="4"/>
    </xf>
    <xf numFmtId="3" fontId="4" fillId="0" borderId="8" xfId="3" applyNumberFormat="1" applyFont="1" applyBorder="1"/>
    <xf numFmtId="164" fontId="4" fillId="0" borderId="8" xfId="1" applyNumberFormat="1" applyFont="1" applyBorder="1"/>
    <xf numFmtId="9" fontId="4" fillId="0" borderId="8" xfId="5" applyFont="1" applyFill="1" applyBorder="1"/>
    <xf numFmtId="0" fontId="4" fillId="4" borderId="24" xfId="3" applyFont="1" applyFill="1" applyBorder="1" applyAlignment="1">
      <alignment horizontal="left" indent="2"/>
    </xf>
    <xf numFmtId="9" fontId="4" fillId="0" borderId="8" xfId="5" applyFont="1" applyFill="1" applyBorder="1" applyAlignment="1">
      <alignment wrapText="1"/>
    </xf>
    <xf numFmtId="49" fontId="4" fillId="0" borderId="25" xfId="3" applyNumberFormat="1" applyFont="1" applyBorder="1" applyAlignment="1">
      <alignment horizontal="left" wrapText="1" indent="4"/>
    </xf>
    <xf numFmtId="0" fontId="4" fillId="4" borderId="16" xfId="3" applyFont="1" applyFill="1" applyBorder="1" applyAlignment="1">
      <alignment horizontal="left" indent="2"/>
    </xf>
    <xf numFmtId="49" fontId="4" fillId="0" borderId="17" xfId="3" applyNumberFormat="1" applyFont="1" applyBorder="1" applyAlignment="1">
      <alignment horizontal="left" wrapText="1" indent="4"/>
    </xf>
    <xf numFmtId="3" fontId="4" fillId="0" borderId="17" xfId="3" applyNumberFormat="1" applyFont="1" applyBorder="1"/>
    <xf numFmtId="164" fontId="4" fillId="0" borderId="17" xfId="1" applyNumberFormat="1" applyFont="1" applyBorder="1"/>
    <xf numFmtId="9" fontId="4" fillId="0" borderId="17" xfId="5" applyFont="1" applyFill="1" applyBorder="1"/>
    <xf numFmtId="0" fontId="10" fillId="0" borderId="26" xfId="3" applyFont="1" applyBorder="1"/>
    <xf numFmtId="0" fontId="10" fillId="0" borderId="27" xfId="3" applyFont="1" applyBorder="1" applyAlignment="1">
      <alignment horizontal="right" wrapText="1"/>
    </xf>
    <xf numFmtId="9" fontId="10" fillId="0" borderId="18" xfId="5" applyFont="1" applyBorder="1"/>
    <xf numFmtId="0" fontId="10" fillId="0" borderId="0" xfId="3" applyFont="1"/>
    <xf numFmtId="10" fontId="4" fillId="0" borderId="0" xfId="9" applyNumberFormat="1" applyFont="1"/>
    <xf numFmtId="49" fontId="10" fillId="3" borderId="28" xfId="3" applyNumberFormat="1" applyFont="1" applyFill="1" applyBorder="1" applyAlignment="1">
      <alignment horizontal="left" indent="2"/>
    </xf>
    <xf numFmtId="49" fontId="10" fillId="3" borderId="29" xfId="3" applyNumberFormat="1" applyFont="1" applyFill="1" applyBorder="1" applyAlignment="1">
      <alignment wrapText="1"/>
    </xf>
    <xf numFmtId="3" fontId="10" fillId="3" borderId="30" xfId="3" applyNumberFormat="1" applyFont="1" applyFill="1" applyBorder="1"/>
    <xf numFmtId="164" fontId="10" fillId="3" borderId="30" xfId="1" applyNumberFormat="1" applyFont="1" applyFill="1" applyBorder="1"/>
    <xf numFmtId="9" fontId="10" fillId="3" borderId="30" xfId="5" applyFont="1" applyFill="1" applyBorder="1"/>
    <xf numFmtId="49" fontId="4" fillId="2" borderId="7" xfId="3" applyNumberFormat="1" applyFont="1" applyFill="1" applyBorder="1" applyAlignment="1">
      <alignment horizontal="left" indent="1"/>
    </xf>
    <xf numFmtId="49" fontId="4" fillId="2" borderId="8" xfId="3" applyNumberFormat="1" applyFont="1" applyFill="1" applyBorder="1" applyAlignment="1">
      <alignment horizontal="left" wrapText="1" indent="2"/>
    </xf>
    <xf numFmtId="9" fontId="8" fillId="2" borderId="9" xfId="5" applyFont="1" applyFill="1" applyBorder="1" applyAlignment="1">
      <alignment wrapText="1"/>
    </xf>
    <xf numFmtId="9" fontId="4" fillId="2" borderId="9" xfId="5" applyFont="1" applyFill="1" applyBorder="1"/>
    <xf numFmtId="49" fontId="10" fillId="3" borderId="7" xfId="3" applyNumberFormat="1" applyFont="1" applyFill="1" applyBorder="1"/>
    <xf numFmtId="49" fontId="10" fillId="3" borderId="8" xfId="3" applyNumberFormat="1" applyFont="1" applyFill="1" applyBorder="1" applyAlignment="1">
      <alignment wrapText="1"/>
    </xf>
    <xf numFmtId="9" fontId="8" fillId="3" borderId="9" xfId="5" applyFont="1" applyFill="1" applyBorder="1" applyAlignment="1">
      <alignment wrapText="1"/>
    </xf>
    <xf numFmtId="0" fontId="18" fillId="0" borderId="0" xfId="3" applyFont="1"/>
    <xf numFmtId="49" fontId="4" fillId="0" borderId="7" xfId="3" applyNumberFormat="1" applyFont="1" applyBorder="1" applyAlignment="1">
      <alignment horizontal="left" indent="2"/>
    </xf>
    <xf numFmtId="49" fontId="4" fillId="0" borderId="8" xfId="3" applyNumberFormat="1" applyFont="1" applyBorder="1" applyAlignment="1">
      <alignment horizontal="left" wrapText="1" indent="2"/>
    </xf>
    <xf numFmtId="49" fontId="10" fillId="2" borderId="8" xfId="3" applyNumberFormat="1" applyFont="1" applyFill="1" applyBorder="1" applyAlignment="1">
      <alignment horizontal="left" wrapText="1" indent="2"/>
    </xf>
    <xf numFmtId="3" fontId="10" fillId="2" borderId="9" xfId="3" applyNumberFormat="1" applyFont="1" applyFill="1" applyBorder="1"/>
    <xf numFmtId="164" fontId="10" fillId="2" borderId="9" xfId="1" applyNumberFormat="1" applyFont="1" applyFill="1" applyBorder="1"/>
    <xf numFmtId="3" fontId="11" fillId="2" borderId="9" xfId="3" applyNumberFormat="1" applyFont="1" applyFill="1" applyBorder="1"/>
    <xf numFmtId="9" fontId="8" fillId="2" borderId="9" xfId="5" quotePrefix="1" applyFont="1" applyFill="1" applyBorder="1" applyAlignment="1">
      <alignment wrapText="1"/>
    </xf>
    <xf numFmtId="9" fontId="4" fillId="2" borderId="9" xfId="5" quotePrefix="1" applyFont="1" applyFill="1" applyBorder="1" applyAlignment="1">
      <alignment wrapText="1"/>
    </xf>
    <xf numFmtId="9" fontId="4" fillId="0" borderId="9" xfId="5" applyFont="1" applyBorder="1" applyAlignment="1">
      <alignment wrapText="1"/>
    </xf>
    <xf numFmtId="9" fontId="8" fillId="0" borderId="9" xfId="5" applyFont="1" applyBorder="1" applyAlignment="1">
      <alignment wrapText="1"/>
    </xf>
    <xf numFmtId="49" fontId="8" fillId="0" borderId="8" xfId="3" applyNumberFormat="1" applyFont="1" applyBorder="1" applyAlignment="1">
      <alignment horizontal="left" wrapText="1" indent="4"/>
    </xf>
    <xf numFmtId="49" fontId="4" fillId="13" borderId="7" xfId="3" applyNumberFormat="1" applyFont="1" applyFill="1" applyBorder="1" applyAlignment="1">
      <alignment horizontal="left" indent="2"/>
    </xf>
    <xf numFmtId="0" fontId="8" fillId="0" borderId="8" xfId="3" applyFont="1" applyBorder="1" applyAlignment="1">
      <alignment horizontal="left" wrapText="1" indent="3"/>
    </xf>
    <xf numFmtId="0" fontId="8" fillId="11" borderId="8" xfId="3" applyFont="1" applyFill="1" applyBorder="1" applyAlignment="1">
      <alignment horizontal="left" wrapText="1" indent="3"/>
    </xf>
    <xf numFmtId="9" fontId="4" fillId="0" borderId="12" xfId="5" applyFont="1" applyBorder="1" applyAlignment="1">
      <alignment wrapText="1"/>
    </xf>
    <xf numFmtId="9" fontId="10" fillId="2" borderId="9" xfId="5" applyFont="1" applyFill="1" applyBorder="1"/>
    <xf numFmtId="49" fontId="17" fillId="0" borderId="7" xfId="3" applyNumberFormat="1" applyFont="1" applyBorder="1" applyAlignment="1">
      <alignment horizontal="left" indent="2"/>
    </xf>
    <xf numFmtId="0" fontId="17" fillId="11" borderId="8" xfId="3" applyFont="1" applyFill="1" applyBorder="1" applyAlignment="1">
      <alignment horizontal="left" wrapText="1" indent="3"/>
    </xf>
    <xf numFmtId="9" fontId="4" fillId="0" borderId="10" xfId="5" applyFont="1" applyBorder="1" applyAlignment="1">
      <alignment wrapText="1"/>
    </xf>
    <xf numFmtId="0" fontId="4" fillId="11" borderId="8" xfId="3" applyFont="1" applyFill="1" applyBorder="1" applyAlignment="1">
      <alignment horizontal="left" wrapText="1" indent="3"/>
    </xf>
    <xf numFmtId="164" fontId="4" fillId="12" borderId="9" xfId="1" applyNumberFormat="1" applyFont="1" applyFill="1" applyBorder="1"/>
    <xf numFmtId="49" fontId="19" fillId="0" borderId="7" xfId="3" applyNumberFormat="1" applyFont="1" applyBorder="1" applyAlignment="1">
      <alignment horizontal="left" indent="3"/>
    </xf>
    <xf numFmtId="0" fontId="19" fillId="11" borderId="8" xfId="3" applyFont="1" applyFill="1" applyBorder="1" applyAlignment="1">
      <alignment horizontal="left" wrapText="1" indent="6"/>
    </xf>
    <xf numFmtId="3" fontId="4" fillId="11" borderId="9" xfId="3" applyNumberFormat="1" applyFont="1" applyFill="1" applyBorder="1"/>
    <xf numFmtId="9" fontId="8" fillId="0" borderId="9" xfId="5" quotePrefix="1" applyFont="1" applyBorder="1" applyAlignment="1">
      <alignment wrapText="1"/>
    </xf>
    <xf numFmtId="9" fontId="4" fillId="0" borderId="9" xfId="5" quotePrefix="1" applyFont="1" applyBorder="1" applyAlignment="1">
      <alignment wrapText="1"/>
    </xf>
    <xf numFmtId="49" fontId="4" fillId="13" borderId="7" xfId="3" applyNumberFormat="1" applyFont="1" applyFill="1" applyBorder="1" applyAlignment="1">
      <alignment horizontal="left" indent="1"/>
    </xf>
    <xf numFmtId="9" fontId="19" fillId="2" borderId="9" xfId="5" applyFont="1" applyFill="1" applyBorder="1" applyAlignment="1">
      <alignment wrapText="1"/>
    </xf>
    <xf numFmtId="9" fontId="20" fillId="2" borderId="9" xfId="5" applyFont="1" applyFill="1" applyBorder="1" applyAlignment="1">
      <alignment wrapText="1"/>
    </xf>
    <xf numFmtId="0" fontId="14" fillId="11" borderId="0" xfId="3" applyFont="1" applyFill="1"/>
    <xf numFmtId="0" fontId="14" fillId="11" borderId="8" xfId="3" applyFont="1" applyFill="1" applyBorder="1" applyAlignment="1">
      <alignment horizontal="left" indent="2"/>
    </xf>
    <xf numFmtId="0" fontId="4" fillId="11" borderId="31" xfId="3" applyFont="1" applyFill="1" applyBorder="1" applyAlignment="1">
      <alignment horizontal="left" indent="3"/>
    </xf>
    <xf numFmtId="164" fontId="4" fillId="11" borderId="9" xfId="1" applyNumberFormat="1" applyFont="1" applyFill="1" applyBorder="1"/>
    <xf numFmtId="9" fontId="4" fillId="11" borderId="9" xfId="5" applyFont="1" applyFill="1" applyBorder="1"/>
    <xf numFmtId="3" fontId="8" fillId="11" borderId="9" xfId="3" applyNumberFormat="1" applyFont="1" applyFill="1" applyBorder="1"/>
    <xf numFmtId="3" fontId="4" fillId="14" borderId="9" xfId="3" applyNumberFormat="1" applyFont="1" applyFill="1" applyBorder="1"/>
    <xf numFmtId="164" fontId="4" fillId="14" borderId="9" xfId="1" applyNumberFormat="1" applyFont="1" applyFill="1" applyBorder="1"/>
    <xf numFmtId="0" fontId="14" fillId="0" borderId="8" xfId="3" applyFont="1" applyBorder="1" applyAlignment="1">
      <alignment horizontal="left" indent="2"/>
    </xf>
    <xf numFmtId="0" fontId="4" fillId="0" borderId="31" xfId="3" applyFont="1" applyBorder="1" applyAlignment="1">
      <alignment horizontal="left" indent="3"/>
    </xf>
    <xf numFmtId="0" fontId="14" fillId="13" borderId="8" xfId="3" applyFont="1" applyFill="1" applyBorder="1" applyAlignment="1">
      <alignment horizontal="left" indent="2"/>
    </xf>
    <xf numFmtId="0" fontId="4" fillId="0" borderId="0" xfId="3" applyFont="1" applyAlignment="1">
      <alignment horizontal="right"/>
    </xf>
    <xf numFmtId="3" fontId="4" fillId="4" borderId="9" xfId="3" applyNumberFormat="1" applyFont="1" applyFill="1" applyBorder="1"/>
    <xf numFmtId="164" fontId="4" fillId="4" borderId="9" xfId="1" applyNumberFormat="1" applyFont="1" applyFill="1" applyBorder="1"/>
    <xf numFmtId="3" fontId="8" fillId="4" borderId="9" xfId="3" applyNumberFormat="1" applyFont="1" applyFill="1" applyBorder="1"/>
    <xf numFmtId="9" fontId="4" fillId="4" borderId="9" xfId="5" applyFont="1" applyFill="1" applyBorder="1" applyAlignment="1">
      <alignment wrapText="1"/>
    </xf>
    <xf numFmtId="49" fontId="10" fillId="2" borderId="7" xfId="3" applyNumberFormat="1" applyFont="1" applyFill="1" applyBorder="1" applyAlignment="1">
      <alignment horizontal="left" indent="1"/>
    </xf>
    <xf numFmtId="0" fontId="4" fillId="4" borderId="0" xfId="3" quotePrefix="1" applyFont="1" applyFill="1"/>
    <xf numFmtId="0" fontId="4" fillId="4" borderId="0" xfId="3" applyFont="1" applyFill="1"/>
    <xf numFmtId="49" fontId="4" fillId="4" borderId="7" xfId="3" applyNumberFormat="1" applyFont="1" applyFill="1" applyBorder="1" applyAlignment="1">
      <alignment horizontal="left" indent="2"/>
    </xf>
    <xf numFmtId="49" fontId="4" fillId="4" borderId="8" xfId="3" applyNumberFormat="1" applyFont="1" applyFill="1" applyBorder="1" applyAlignment="1">
      <alignment horizontal="left" wrapText="1" indent="4"/>
    </xf>
    <xf numFmtId="0" fontId="21" fillId="0" borderId="0" xfId="3" applyFont="1"/>
    <xf numFmtId="0" fontId="21" fillId="0" borderId="0" xfId="3" quotePrefix="1" applyFont="1"/>
    <xf numFmtId="49" fontId="10" fillId="0" borderId="7" xfId="3" applyNumberFormat="1" applyFont="1" applyBorder="1" applyAlignment="1">
      <alignment horizontal="left" indent="2"/>
    </xf>
    <xf numFmtId="49" fontId="10" fillId="0" borderId="8" xfId="3" applyNumberFormat="1" applyFont="1" applyBorder="1" applyAlignment="1">
      <alignment horizontal="left" wrapText="1" indent="4"/>
    </xf>
    <xf numFmtId="3" fontId="10" fillId="0" borderId="9" xfId="3" applyNumberFormat="1" applyFont="1" applyBorder="1"/>
    <xf numFmtId="164" fontId="10" fillId="0" borderId="9" xfId="1" applyNumberFormat="1" applyFont="1" applyBorder="1"/>
    <xf numFmtId="0" fontId="22" fillId="0" borderId="0" xfId="3" applyFont="1"/>
    <xf numFmtId="49" fontId="4" fillId="0" borderId="7" xfId="3" applyNumberFormat="1" applyFont="1" applyBorder="1" applyAlignment="1">
      <alignment horizontal="left" indent="3"/>
    </xf>
    <xf numFmtId="9" fontId="15" fillId="0" borderId="9" xfId="5" applyFont="1" applyFill="1" applyBorder="1" applyAlignment="1">
      <alignment wrapText="1"/>
    </xf>
    <xf numFmtId="49" fontId="23" fillId="2" borderId="7" xfId="3" applyNumberFormat="1" applyFont="1" applyFill="1" applyBorder="1" applyAlignment="1">
      <alignment horizontal="left" indent="1"/>
    </xf>
    <xf numFmtId="49" fontId="10" fillId="0" borderId="14" xfId="3" applyNumberFormat="1" applyFont="1" applyBorder="1"/>
    <xf numFmtId="49" fontId="10" fillId="0" borderId="15" xfId="3" applyNumberFormat="1" applyFont="1" applyBorder="1" applyAlignment="1">
      <alignment horizontal="right" wrapText="1"/>
    </xf>
    <xf numFmtId="3" fontId="10" fillId="0" borderId="32" xfId="3" applyNumberFormat="1" applyFont="1" applyBorder="1"/>
    <xf numFmtId="164" fontId="10" fillId="0" borderId="32" xfId="1" applyNumberFormat="1" applyFont="1" applyBorder="1"/>
    <xf numFmtId="9" fontId="10" fillId="0" borderId="32" xfId="5" applyFont="1" applyBorder="1"/>
    <xf numFmtId="3" fontId="10" fillId="0" borderId="33" xfId="3" applyNumberFormat="1" applyFont="1" applyBorder="1"/>
    <xf numFmtId="164" fontId="10" fillId="0" borderId="33" xfId="1" applyNumberFormat="1" applyFont="1" applyBorder="1"/>
    <xf numFmtId="9" fontId="4" fillId="0" borderId="33" xfId="5" applyFont="1" applyBorder="1"/>
    <xf numFmtId="49" fontId="10" fillId="3" borderId="34" xfId="3" applyNumberFormat="1" applyFont="1" applyFill="1" applyBorder="1" applyAlignment="1">
      <alignment horizontal="center"/>
    </xf>
    <xf numFmtId="49" fontId="10" fillId="3" borderId="35" xfId="3" applyNumberFormat="1" applyFont="1" applyFill="1" applyBorder="1" applyAlignment="1">
      <alignment wrapText="1"/>
    </xf>
    <xf numFmtId="3" fontId="10" fillId="3" borderId="36" xfId="3" applyNumberFormat="1" applyFont="1" applyFill="1" applyBorder="1"/>
    <xf numFmtId="164" fontId="10" fillId="3" borderId="36" xfId="1" applyNumberFormat="1" applyFont="1" applyFill="1" applyBorder="1"/>
    <xf numFmtId="9" fontId="10" fillId="3" borderId="36" xfId="5" applyFont="1" applyFill="1" applyBorder="1"/>
    <xf numFmtId="0" fontId="26" fillId="0" borderId="0" xfId="10" applyFont="1"/>
    <xf numFmtId="0" fontId="27" fillId="0" borderId="0" xfId="10" applyFont="1"/>
    <xf numFmtId="0" fontId="27" fillId="0" borderId="0" xfId="10" applyFont="1" applyAlignment="1">
      <alignment horizontal="right"/>
    </xf>
    <xf numFmtId="0" fontId="28" fillId="0" borderId="0" xfId="10" applyFont="1"/>
    <xf numFmtId="164" fontId="27" fillId="0" borderId="0" xfId="11" applyNumberFormat="1" applyFont="1" applyFill="1"/>
    <xf numFmtId="164" fontId="29" fillId="0" borderId="0" xfId="11" applyNumberFormat="1" applyFont="1" applyFill="1"/>
    <xf numFmtId="0" fontId="29" fillId="0" borderId="0" xfId="10" applyFont="1"/>
    <xf numFmtId="164" fontId="27" fillId="0" borderId="0" xfId="12" applyNumberFormat="1" applyFont="1" applyFill="1"/>
    <xf numFmtId="164" fontId="30" fillId="0" borderId="0" xfId="11" applyNumberFormat="1" applyFont="1" applyFill="1"/>
    <xf numFmtId="0" fontId="30" fillId="0" borderId="0" xfId="10" applyFont="1"/>
    <xf numFmtId="0" fontId="31" fillId="0" borderId="0" xfId="10" applyFont="1"/>
    <xf numFmtId="0" fontId="1" fillId="0" borderId="0" xfId="13" applyAlignment="1">
      <alignment horizontal="right"/>
    </xf>
    <xf numFmtId="0" fontId="32" fillId="0" borderId="0" xfId="13" applyFont="1" applyAlignment="1">
      <alignment horizontal="right"/>
    </xf>
    <xf numFmtId="0" fontId="33" fillId="0" borderId="0" xfId="10" applyFont="1"/>
    <xf numFmtId="0" fontId="34" fillId="0" borderId="0" xfId="13" applyFont="1"/>
    <xf numFmtId="0" fontId="28" fillId="0" borderId="0" xfId="10" applyFont="1" applyAlignment="1">
      <alignment horizontal="right"/>
    </xf>
    <xf numFmtId="164" fontId="29" fillId="0" borderId="0" xfId="11" applyNumberFormat="1" applyFont="1"/>
    <xf numFmtId="164" fontId="27" fillId="0" borderId="0" xfId="11" applyNumberFormat="1" applyFont="1"/>
    <xf numFmtId="164" fontId="30" fillId="0" borderId="0" xfId="12" applyNumberFormat="1" applyFont="1"/>
    <xf numFmtId="164" fontId="30" fillId="0" borderId="0" xfId="11" applyNumberFormat="1" applyFont="1"/>
    <xf numFmtId="0" fontId="35" fillId="0" borderId="0" xfId="10" applyFont="1"/>
    <xf numFmtId="0" fontId="36" fillId="0" borderId="0" xfId="10" applyFont="1"/>
    <xf numFmtId="0" fontId="37" fillId="0" borderId="0" xfId="10" applyFont="1"/>
    <xf numFmtId="0" fontId="38" fillId="0" borderId="0" xfId="13" applyFont="1"/>
    <xf numFmtId="0" fontId="32" fillId="0" borderId="0" xfId="13" applyFont="1"/>
    <xf numFmtId="0" fontId="1" fillId="0" borderId="0" xfId="13"/>
    <xf numFmtId="0" fontId="3" fillId="0" borderId="0" xfId="13" applyFont="1"/>
    <xf numFmtId="0" fontId="39" fillId="0" borderId="0" xfId="10" applyFont="1"/>
    <xf numFmtId="166" fontId="33" fillId="14" borderId="19" xfId="14" applyNumberFormat="1" applyFont="1" applyFill="1" applyBorder="1" applyAlignment="1">
      <alignment horizontal="center" vertical="center"/>
    </xf>
    <xf numFmtId="166" fontId="33" fillId="14" borderId="8" xfId="14" applyNumberFormat="1" applyFont="1" applyFill="1" applyBorder="1" applyAlignment="1">
      <alignment horizontal="center" vertical="center"/>
    </xf>
    <xf numFmtId="3" fontId="27" fillId="0" borderId="0" xfId="10" applyNumberFormat="1" applyFont="1"/>
    <xf numFmtId="166" fontId="33" fillId="0" borderId="38" xfId="14" applyNumberFormat="1" applyFont="1" applyFill="1" applyBorder="1" applyAlignment="1">
      <alignment horizontal="center" vertical="center"/>
    </xf>
    <xf numFmtId="166" fontId="33" fillId="0" borderId="39" xfId="14" applyNumberFormat="1" applyFont="1" applyFill="1" applyBorder="1" applyAlignment="1">
      <alignment horizontal="center" vertical="center"/>
    </xf>
    <xf numFmtId="164" fontId="30" fillId="0" borderId="0" xfId="12" applyNumberFormat="1" applyFont="1" applyFill="1"/>
    <xf numFmtId="0" fontId="40" fillId="0" borderId="40" xfId="10" applyFont="1" applyBorder="1" applyAlignment="1">
      <alignment horizontal="center" vertical="center" wrapText="1"/>
    </xf>
    <xf numFmtId="0" fontId="40" fillId="0" borderId="15" xfId="10" applyFont="1" applyBorder="1" applyAlignment="1">
      <alignment horizontal="center" vertical="center" wrapText="1"/>
    </xf>
    <xf numFmtId="0" fontId="40" fillId="0" borderId="2" xfId="10" applyFont="1" applyBorder="1" applyAlignment="1">
      <alignment horizontal="center" vertical="center" wrapText="1"/>
    </xf>
    <xf numFmtId="0" fontId="41" fillId="0" borderId="2" xfId="10" applyFont="1" applyBorder="1" applyAlignment="1">
      <alignment horizontal="center" vertical="center" wrapText="1"/>
    </xf>
    <xf numFmtId="164" fontId="42" fillId="0" borderId="40" xfId="11" applyNumberFormat="1" applyFont="1" applyBorder="1" applyAlignment="1">
      <alignment horizontal="center" vertical="center" wrapText="1"/>
    </xf>
    <xf numFmtId="164" fontId="40" fillId="0" borderId="40" xfId="11" applyNumberFormat="1" applyFont="1" applyBorder="1" applyAlignment="1">
      <alignment horizontal="center" vertical="center" wrapText="1"/>
    </xf>
    <xf numFmtId="164" fontId="36" fillId="0" borderId="3" xfId="12" applyNumberFormat="1" applyFont="1" applyBorder="1" applyAlignment="1">
      <alignment horizontal="center" vertical="center" wrapText="1"/>
    </xf>
    <xf numFmtId="164" fontId="36" fillId="0" borderId="3" xfId="11" applyNumberFormat="1" applyFont="1" applyBorder="1" applyAlignment="1">
      <alignment horizontal="center" vertical="center" wrapText="1"/>
    </xf>
    <xf numFmtId="0" fontId="40" fillId="0" borderId="32" xfId="10" applyFont="1" applyBorder="1" applyAlignment="1">
      <alignment horizontal="center" vertical="center" wrapText="1"/>
    </xf>
    <xf numFmtId="0" fontId="40" fillId="0" borderId="14" xfId="10" applyFont="1" applyBorder="1" applyAlignment="1">
      <alignment horizontal="center" vertical="center" wrapText="1"/>
    </xf>
    <xf numFmtId="0" fontId="40" fillId="0" borderId="3" xfId="10" applyFont="1" applyBorder="1" applyAlignment="1">
      <alignment horizontal="center" vertical="center" wrapText="1"/>
    </xf>
    <xf numFmtId="0" fontId="43" fillId="14" borderId="32" xfId="10" applyFont="1" applyFill="1" applyBorder="1" applyAlignment="1">
      <alignment horizontal="center" vertical="center" wrapText="1"/>
    </xf>
    <xf numFmtId="0" fontId="40" fillId="14" borderId="32" xfId="10" applyFont="1" applyFill="1" applyBorder="1" applyAlignment="1">
      <alignment horizontal="center" vertical="center" wrapText="1"/>
    </xf>
    <xf numFmtId="0" fontId="40" fillId="11" borderId="32" xfId="10" applyFont="1" applyFill="1" applyBorder="1" applyAlignment="1">
      <alignment horizontal="center" vertical="center" wrapText="1"/>
    </xf>
    <xf numFmtId="0" fontId="40" fillId="15" borderId="32" xfId="10" applyFont="1" applyFill="1" applyBorder="1" applyAlignment="1">
      <alignment horizontal="center" vertical="center" wrapText="1"/>
    </xf>
    <xf numFmtId="0" fontId="33" fillId="0" borderId="0" xfId="10" applyFont="1" applyAlignment="1">
      <alignment wrapText="1"/>
    </xf>
    <xf numFmtId="0" fontId="44" fillId="0" borderId="0" xfId="10" applyFont="1" applyAlignment="1">
      <alignment horizontal="center" wrapText="1"/>
    </xf>
    <xf numFmtId="0" fontId="27" fillId="0" borderId="0" xfId="10" applyFont="1" applyAlignment="1">
      <alignment wrapText="1"/>
    </xf>
    <xf numFmtId="0" fontId="26" fillId="16" borderId="41" xfId="10" applyFont="1" applyFill="1" applyBorder="1" applyAlignment="1">
      <alignment vertical="center"/>
    </xf>
    <xf numFmtId="0" fontId="28" fillId="0" borderId="42" xfId="10" applyFont="1" applyBorder="1" applyAlignment="1">
      <alignment vertical="center"/>
    </xf>
    <xf numFmtId="0" fontId="33" fillId="0" borderId="43" xfId="10" applyFont="1" applyBorder="1" applyAlignment="1">
      <alignment horizontal="center" vertical="center"/>
    </xf>
    <xf numFmtId="0" fontId="33" fillId="0" borderId="42" xfId="10" applyFont="1" applyBorder="1" applyAlignment="1">
      <alignment vertical="center"/>
    </xf>
    <xf numFmtId="14" fontId="28" fillId="0" borderId="42" xfId="10" applyNumberFormat="1" applyFont="1" applyBorder="1" applyAlignment="1">
      <alignment horizontal="right" vertical="center"/>
    </xf>
    <xf numFmtId="14" fontId="33" fillId="0" borderId="42" xfId="10" applyNumberFormat="1" applyFont="1" applyBorder="1" applyAlignment="1">
      <alignment horizontal="right" vertical="center"/>
    </xf>
    <xf numFmtId="164" fontId="45" fillId="0" borderId="44" xfId="11" applyNumberFormat="1" applyFont="1" applyFill="1" applyBorder="1" applyAlignment="1">
      <alignment horizontal="center" vertical="center"/>
    </xf>
    <xf numFmtId="164" fontId="40" fillId="0" borderId="43" xfId="11" applyNumberFormat="1" applyFont="1" applyFill="1" applyBorder="1" applyAlignment="1">
      <alignment horizontal="center" vertical="center"/>
    </xf>
    <xf numFmtId="164" fontId="33" fillId="0" borderId="43" xfId="11" applyNumberFormat="1" applyFont="1" applyFill="1" applyBorder="1" applyAlignment="1">
      <alignment horizontal="center" vertical="center"/>
    </xf>
    <xf numFmtId="166" fontId="33" fillId="0" borderId="43" xfId="14" applyNumberFormat="1" applyFont="1" applyFill="1" applyBorder="1" applyAlignment="1">
      <alignment horizontal="center" vertical="center"/>
    </xf>
    <xf numFmtId="10" fontId="33" fillId="0" borderId="44" xfId="10" applyNumberFormat="1" applyFont="1" applyBorder="1" applyAlignment="1">
      <alignment horizontal="center" vertical="center"/>
    </xf>
    <xf numFmtId="0" fontId="33" fillId="0" borderId="44" xfId="10" applyFont="1" applyBorder="1" applyAlignment="1">
      <alignment horizontal="center" vertical="center"/>
    </xf>
    <xf numFmtId="164" fontId="33" fillId="0" borderId="44" xfId="12" applyNumberFormat="1" applyFont="1" applyFill="1" applyBorder="1" applyAlignment="1">
      <alignment horizontal="center" vertical="center"/>
    </xf>
    <xf numFmtId="164" fontId="33" fillId="0" borderId="44" xfId="11" applyNumberFormat="1" applyFont="1" applyFill="1" applyBorder="1" applyAlignment="1">
      <alignment horizontal="center" vertical="center"/>
    </xf>
    <xf numFmtId="3" fontId="40" fillId="0" borderId="45" xfId="10" applyNumberFormat="1" applyFont="1" applyBorder="1" applyAlignment="1">
      <alignment vertical="center"/>
    </xf>
    <xf numFmtId="3" fontId="40" fillId="0" borderId="46" xfId="10" applyNumberFormat="1" applyFont="1" applyBorder="1" applyAlignment="1">
      <alignment vertical="center"/>
    </xf>
    <xf numFmtId="0" fontId="33" fillId="0" borderId="47" xfId="10" applyFont="1" applyBorder="1" applyAlignment="1">
      <alignment horizontal="center" vertical="center"/>
    </xf>
    <xf numFmtId="3" fontId="43" fillId="0" borderId="45" xfId="10" applyNumberFormat="1" applyFont="1" applyBorder="1" applyAlignment="1">
      <alignment horizontal="right" vertical="center"/>
    </xf>
    <xf numFmtId="3" fontId="40" fillId="0" borderId="45" xfId="10" applyNumberFormat="1" applyFont="1" applyBorder="1" applyAlignment="1">
      <alignment horizontal="right" vertical="center"/>
    </xf>
    <xf numFmtId="3" fontId="40" fillId="16" borderId="45" xfId="10" applyNumberFormat="1" applyFont="1" applyFill="1" applyBorder="1" applyAlignment="1">
      <alignment horizontal="right" vertical="center"/>
    </xf>
    <xf numFmtId="3" fontId="33" fillId="0" borderId="0" xfId="10" applyNumberFormat="1" applyFont="1" applyAlignment="1">
      <alignment vertical="center"/>
    </xf>
    <xf numFmtId="0" fontId="27" fillId="0" borderId="0" xfId="10" applyFont="1" applyAlignment="1">
      <alignment vertical="center"/>
    </xf>
    <xf numFmtId="0" fontId="26" fillId="16" borderId="48" xfId="10" applyFont="1" applyFill="1" applyBorder="1" applyAlignment="1">
      <alignment vertical="center"/>
    </xf>
    <xf numFmtId="0" fontId="28" fillId="0" borderId="49" xfId="10" applyFont="1" applyBorder="1" applyAlignment="1">
      <alignment vertical="center"/>
    </xf>
    <xf numFmtId="0" fontId="33" fillId="0" borderId="50" xfId="10" applyFont="1" applyBorder="1" applyAlignment="1">
      <alignment horizontal="center" vertical="center"/>
    </xf>
    <xf numFmtId="0" fontId="28" fillId="0" borderId="49" xfId="10" applyFont="1" applyBorder="1" applyAlignment="1">
      <alignment horizontal="right" vertical="center"/>
    </xf>
    <xf numFmtId="0" fontId="33" fillId="0" borderId="49" xfId="10" applyFont="1" applyBorder="1" applyAlignment="1">
      <alignment horizontal="right" vertical="center"/>
    </xf>
    <xf numFmtId="0" fontId="33" fillId="0" borderId="49" xfId="10" applyFont="1" applyBorder="1" applyAlignment="1">
      <alignment horizontal="center" vertical="center"/>
    </xf>
    <xf numFmtId="164" fontId="45" fillId="0" borderId="50" xfId="11" applyNumberFormat="1" applyFont="1" applyFill="1" applyBorder="1" applyAlignment="1">
      <alignment horizontal="center" vertical="center"/>
    </xf>
    <xf numFmtId="164" fontId="40" fillId="0" borderId="50" xfId="11" applyNumberFormat="1" applyFont="1" applyFill="1" applyBorder="1" applyAlignment="1">
      <alignment horizontal="center" vertical="center"/>
    </xf>
    <xf numFmtId="164" fontId="33" fillId="0" borderId="50" xfId="11" applyNumberFormat="1" applyFont="1" applyFill="1" applyBorder="1" applyAlignment="1">
      <alignment horizontal="center" vertical="center"/>
    </xf>
    <xf numFmtId="164" fontId="33" fillId="0" borderId="50" xfId="12" applyNumberFormat="1" applyFont="1" applyFill="1" applyBorder="1" applyAlignment="1">
      <alignment horizontal="center" vertical="center"/>
    </xf>
    <xf numFmtId="3" fontId="40" fillId="0" borderId="12" xfId="10" applyNumberFormat="1" applyFont="1" applyBorder="1" applyAlignment="1">
      <alignment vertical="center"/>
    </xf>
    <xf numFmtId="3" fontId="40" fillId="0" borderId="51" xfId="10" applyNumberFormat="1" applyFont="1" applyBorder="1" applyAlignment="1">
      <alignment vertical="center"/>
    </xf>
    <xf numFmtId="0" fontId="33" fillId="0" borderId="18" xfId="10" applyFont="1" applyBorder="1" applyAlignment="1">
      <alignment horizontal="center" vertical="center"/>
    </xf>
    <xf numFmtId="3" fontId="43" fillId="0" borderId="52" xfId="10" applyNumberFormat="1" applyFont="1" applyBorder="1" applyAlignment="1">
      <alignment horizontal="right" vertical="center"/>
    </xf>
    <xf numFmtId="3" fontId="45" fillId="0" borderId="52" xfId="10" applyNumberFormat="1" applyFont="1" applyBorder="1" applyAlignment="1">
      <alignment horizontal="right" vertical="center"/>
    </xf>
    <xf numFmtId="3" fontId="45" fillId="16" borderId="52" xfId="10" applyNumberFormat="1" applyFont="1" applyFill="1" applyBorder="1" applyAlignment="1">
      <alignment horizontal="right" vertical="center"/>
    </xf>
    <xf numFmtId="0" fontId="36" fillId="0" borderId="0" xfId="10" applyFont="1" applyAlignment="1">
      <alignment vertical="center"/>
    </xf>
    <xf numFmtId="0" fontId="26" fillId="16" borderId="53" xfId="10" applyFont="1" applyFill="1" applyBorder="1" applyAlignment="1">
      <alignment vertical="center"/>
    </xf>
    <xf numFmtId="0" fontId="28" fillId="0" borderId="54" xfId="10" applyFont="1" applyBorder="1" applyAlignment="1">
      <alignment vertical="center"/>
    </xf>
    <xf numFmtId="14" fontId="33" fillId="0" borderId="55" xfId="10" applyNumberFormat="1" applyFont="1" applyBorder="1" applyAlignment="1">
      <alignment horizontal="center" vertical="center"/>
    </xf>
    <xf numFmtId="14" fontId="33" fillId="0" borderId="54" xfId="10" applyNumberFormat="1" applyFont="1" applyBorder="1" applyAlignment="1">
      <alignment horizontal="center" vertical="center"/>
    </xf>
    <xf numFmtId="164" fontId="45" fillId="0" borderId="55" xfId="11" applyNumberFormat="1" applyFont="1" applyFill="1" applyBorder="1" applyAlignment="1">
      <alignment horizontal="center" vertical="center"/>
    </xf>
    <xf numFmtId="10" fontId="33" fillId="0" borderId="55" xfId="10" applyNumberFormat="1" applyFont="1" applyBorder="1" applyAlignment="1">
      <alignment horizontal="center" vertical="center"/>
    </xf>
    <xf numFmtId="0" fontId="33" fillId="0" borderId="55" xfId="10" applyFont="1" applyBorder="1" applyAlignment="1">
      <alignment horizontal="center" vertical="center"/>
    </xf>
    <xf numFmtId="164" fontId="33" fillId="0" borderId="55" xfId="12" applyNumberFormat="1" applyFont="1" applyFill="1" applyBorder="1" applyAlignment="1">
      <alignment horizontal="center" vertical="center"/>
    </xf>
    <xf numFmtId="164" fontId="33" fillId="0" borderId="55" xfId="11" applyNumberFormat="1" applyFont="1" applyFill="1" applyBorder="1" applyAlignment="1">
      <alignment horizontal="center" vertical="center"/>
    </xf>
    <xf numFmtId="0" fontId="33" fillId="0" borderId="21" xfId="10" applyFont="1" applyBorder="1" applyAlignment="1">
      <alignment horizontal="center" vertical="center"/>
    </xf>
    <xf numFmtId="3" fontId="43" fillId="0" borderId="56" xfId="10" applyNumberFormat="1" applyFont="1" applyBorder="1" applyAlignment="1">
      <alignment horizontal="right" vertical="center"/>
    </xf>
    <xf numFmtId="3" fontId="40" fillId="0" borderId="56" xfId="10" applyNumberFormat="1" applyFont="1" applyBorder="1" applyAlignment="1">
      <alignment horizontal="right" vertical="center"/>
    </xf>
    <xf numFmtId="3" fontId="40" fillId="10" borderId="56" xfId="10" applyNumberFormat="1" applyFont="1" applyFill="1" applyBorder="1" applyAlignment="1">
      <alignment horizontal="right" vertical="center"/>
    </xf>
    <xf numFmtId="3" fontId="40" fillId="16" borderId="56" xfId="10" applyNumberFormat="1" applyFont="1" applyFill="1" applyBorder="1" applyAlignment="1">
      <alignment horizontal="right" vertical="center"/>
    </xf>
    <xf numFmtId="3" fontId="40" fillId="0" borderId="52" xfId="10" applyNumberFormat="1" applyFont="1" applyBorder="1" applyAlignment="1">
      <alignment vertical="center"/>
    </xf>
    <xf numFmtId="3" fontId="40" fillId="0" borderId="26" xfId="10" applyNumberFormat="1" applyFont="1" applyBorder="1" applyAlignment="1">
      <alignment vertical="center"/>
    </xf>
    <xf numFmtId="14" fontId="33" fillId="0" borderId="44" xfId="10" applyNumberFormat="1" applyFont="1" applyBorder="1" applyAlignment="1">
      <alignment horizontal="center" vertical="center"/>
    </xf>
    <xf numFmtId="1" fontId="28" fillId="0" borderId="42" xfId="10" applyNumberFormat="1" applyFont="1" applyBorder="1" applyAlignment="1">
      <alignment horizontal="right" vertical="center"/>
    </xf>
    <xf numFmtId="14" fontId="33" fillId="0" borderId="42" xfId="10" applyNumberFormat="1" applyFont="1" applyBorder="1" applyAlignment="1">
      <alignment horizontal="center" vertical="center"/>
    </xf>
    <xf numFmtId="164" fontId="40" fillId="0" borderId="45" xfId="12" applyNumberFormat="1" applyFont="1" applyFill="1" applyBorder="1" applyAlignment="1">
      <alignment horizontal="right" vertical="center"/>
    </xf>
    <xf numFmtId="164" fontId="40" fillId="16" borderId="45" xfId="12" applyNumberFormat="1" applyFont="1" applyFill="1" applyBorder="1" applyAlignment="1">
      <alignment horizontal="right" vertical="center"/>
    </xf>
    <xf numFmtId="164" fontId="40" fillId="0" borderId="49" xfId="11" applyNumberFormat="1" applyFont="1" applyFill="1" applyBorder="1" applyAlignment="1">
      <alignment horizontal="center" vertical="center"/>
    </xf>
    <xf numFmtId="0" fontId="46" fillId="0" borderId="49" xfId="13" applyFont="1" applyBorder="1"/>
    <xf numFmtId="164" fontId="33" fillId="0" borderId="0" xfId="11" applyNumberFormat="1" applyFont="1" applyFill="1" applyBorder="1" applyAlignment="1">
      <alignment horizontal="center" vertical="center"/>
    </xf>
    <xf numFmtId="164" fontId="45" fillId="0" borderId="52" xfId="12" applyNumberFormat="1" applyFont="1" applyFill="1" applyBorder="1" applyAlignment="1">
      <alignment horizontal="right" vertical="center"/>
    </xf>
    <xf numFmtId="0" fontId="33" fillId="11" borderId="43" xfId="10" applyFont="1" applyFill="1" applyBorder="1" applyAlignment="1">
      <alignment horizontal="center" vertical="center"/>
    </xf>
    <xf numFmtId="14" fontId="33" fillId="11" borderId="44" xfId="10" applyNumberFormat="1" applyFont="1" applyFill="1" applyBorder="1" applyAlignment="1">
      <alignment horizontal="center" vertical="center"/>
    </xf>
    <xf numFmtId="1" fontId="33" fillId="11" borderId="42" xfId="10" applyNumberFormat="1" applyFont="1" applyFill="1" applyBorder="1" applyAlignment="1">
      <alignment horizontal="right" vertical="center"/>
    </xf>
    <xf numFmtId="0" fontId="33" fillId="11" borderId="54" xfId="10" applyFont="1" applyFill="1" applyBorder="1" applyAlignment="1">
      <alignment horizontal="right" vertical="center"/>
    </xf>
    <xf numFmtId="0" fontId="33" fillId="11" borderId="54" xfId="10" applyFont="1" applyFill="1" applyBorder="1" applyAlignment="1">
      <alignment horizontal="center" vertical="center"/>
    </xf>
    <xf numFmtId="164" fontId="45" fillId="11" borderId="44" xfId="11" applyNumberFormat="1" applyFont="1" applyFill="1" applyBorder="1" applyAlignment="1">
      <alignment horizontal="center" vertical="center"/>
    </xf>
    <xf numFmtId="164" fontId="40" fillId="11" borderId="43" xfId="11" applyNumberFormat="1" applyFont="1" applyFill="1" applyBorder="1" applyAlignment="1">
      <alignment horizontal="center" vertical="center"/>
    </xf>
    <xf numFmtId="164" fontId="33" fillId="11" borderId="43" xfId="11" applyNumberFormat="1" applyFont="1" applyFill="1" applyBorder="1" applyAlignment="1">
      <alignment horizontal="center" vertical="center"/>
    </xf>
    <xf numFmtId="10" fontId="33" fillId="11" borderId="44" xfId="10" applyNumberFormat="1" applyFont="1" applyFill="1" applyBorder="1" applyAlignment="1">
      <alignment horizontal="center" vertical="center"/>
    </xf>
    <xf numFmtId="0" fontId="33" fillId="11" borderId="44" xfId="10" applyFont="1" applyFill="1" applyBorder="1" applyAlignment="1">
      <alignment horizontal="center" vertical="center"/>
    </xf>
    <xf numFmtId="164" fontId="33" fillId="11" borderId="44" xfId="12" applyNumberFormat="1" applyFont="1" applyFill="1" applyBorder="1" applyAlignment="1">
      <alignment horizontal="center" vertical="center"/>
    </xf>
    <xf numFmtId="164" fontId="33" fillId="11" borderId="44" xfId="11" applyNumberFormat="1" applyFont="1" applyFill="1" applyBorder="1" applyAlignment="1">
      <alignment horizontal="center" vertical="center"/>
    </xf>
    <xf numFmtId="3" fontId="40" fillId="11" borderId="45" xfId="10" applyNumberFormat="1" applyFont="1" applyFill="1" applyBorder="1" applyAlignment="1">
      <alignment vertical="center"/>
    </xf>
    <xf numFmtId="3" fontId="40" fillId="11" borderId="46" xfId="10" applyNumberFormat="1" applyFont="1" applyFill="1" applyBorder="1" applyAlignment="1">
      <alignment vertical="center"/>
    </xf>
    <xf numFmtId="0" fontId="33" fillId="11" borderId="47" xfId="10" applyFont="1" applyFill="1" applyBorder="1" applyAlignment="1">
      <alignment horizontal="center" vertical="center"/>
    </xf>
    <xf numFmtId="3" fontId="43" fillId="11" borderId="45" xfId="10" applyNumberFormat="1" applyFont="1" applyFill="1" applyBorder="1" applyAlignment="1">
      <alignment horizontal="right" vertical="center"/>
    </xf>
    <xf numFmtId="3" fontId="40" fillId="11" borderId="45" xfId="10" applyNumberFormat="1" applyFont="1" applyFill="1" applyBorder="1" applyAlignment="1">
      <alignment horizontal="right" vertical="center"/>
    </xf>
    <xf numFmtId="0" fontId="27" fillId="11" borderId="0" xfId="10" applyFont="1" applyFill="1" applyAlignment="1">
      <alignment vertical="center"/>
    </xf>
    <xf numFmtId="0" fontId="33" fillId="11" borderId="50" xfId="10" applyFont="1" applyFill="1" applyBorder="1" applyAlignment="1">
      <alignment horizontal="center" vertical="center"/>
    </xf>
    <xf numFmtId="0" fontId="28" fillId="11" borderId="49" xfId="10" applyFont="1" applyFill="1" applyBorder="1" applyAlignment="1">
      <alignment horizontal="right" vertical="center"/>
    </xf>
    <xf numFmtId="0" fontId="33" fillId="11" borderId="49" xfId="10" applyFont="1" applyFill="1" applyBorder="1" applyAlignment="1">
      <alignment horizontal="right" vertical="center"/>
    </xf>
    <xf numFmtId="0" fontId="33" fillId="11" borderId="49" xfId="10" applyFont="1" applyFill="1" applyBorder="1" applyAlignment="1">
      <alignment horizontal="center" vertical="center"/>
    </xf>
    <xf numFmtId="164" fontId="45" fillId="11" borderId="50" xfId="11" applyNumberFormat="1" applyFont="1" applyFill="1" applyBorder="1" applyAlignment="1">
      <alignment horizontal="center" vertical="center"/>
    </xf>
    <xf numFmtId="164" fontId="40" fillId="11" borderId="49" xfId="11" applyNumberFormat="1" applyFont="1" applyFill="1" applyBorder="1" applyAlignment="1">
      <alignment horizontal="center" vertical="center"/>
    </xf>
    <xf numFmtId="0" fontId="46" fillId="11" borderId="49" xfId="13" applyFont="1" applyFill="1" applyBorder="1"/>
    <xf numFmtId="164" fontId="33" fillId="11" borderId="0" xfId="11" applyNumberFormat="1" applyFont="1" applyFill="1" applyBorder="1" applyAlignment="1">
      <alignment horizontal="center" vertical="center"/>
    </xf>
    <xf numFmtId="164" fontId="33" fillId="11" borderId="50" xfId="12" applyNumberFormat="1" applyFont="1" applyFill="1" applyBorder="1" applyAlignment="1">
      <alignment horizontal="center" vertical="center"/>
    </xf>
    <xf numFmtId="164" fontId="33" fillId="11" borderId="50" xfId="11" applyNumberFormat="1" applyFont="1" applyFill="1" applyBorder="1" applyAlignment="1">
      <alignment horizontal="center" vertical="center"/>
    </xf>
    <xf numFmtId="3" fontId="40" fillId="11" borderId="52" xfId="10" applyNumberFormat="1" applyFont="1" applyFill="1" applyBorder="1" applyAlignment="1">
      <alignment vertical="center"/>
    </xf>
    <xf numFmtId="3" fontId="40" fillId="11" borderId="26" xfId="10" applyNumberFormat="1" applyFont="1" applyFill="1" applyBorder="1" applyAlignment="1">
      <alignment vertical="center"/>
    </xf>
    <xf numFmtId="0" fontId="33" fillId="11" borderId="18" xfId="10" applyFont="1" applyFill="1" applyBorder="1" applyAlignment="1">
      <alignment horizontal="center" vertical="center"/>
    </xf>
    <xf numFmtId="3" fontId="43" fillId="11" borderId="52" xfId="10" applyNumberFormat="1" applyFont="1" applyFill="1" applyBorder="1" applyAlignment="1">
      <alignment horizontal="right" vertical="center"/>
    </xf>
    <xf numFmtId="0" fontId="36" fillId="11" borderId="0" xfId="10" applyFont="1" applyFill="1" applyAlignment="1">
      <alignment vertical="center"/>
    </xf>
    <xf numFmtId="1" fontId="33" fillId="0" borderId="42" xfId="10" applyNumberFormat="1" applyFont="1" applyBorder="1" applyAlignment="1">
      <alignment horizontal="right" vertical="center"/>
    </xf>
    <xf numFmtId="0" fontId="33" fillId="0" borderId="54" xfId="10" applyFont="1" applyBorder="1" applyAlignment="1">
      <alignment horizontal="center" vertical="center"/>
    </xf>
    <xf numFmtId="0" fontId="28" fillId="0" borderId="54" xfId="10" applyFont="1" applyBorder="1" applyAlignment="1">
      <alignment horizontal="right" vertical="center"/>
    </xf>
    <xf numFmtId="0" fontId="33" fillId="0" borderId="54" xfId="10" applyFont="1" applyBorder="1" applyAlignment="1">
      <alignment horizontal="right" vertical="center"/>
    </xf>
    <xf numFmtId="164" fontId="40" fillId="0" borderId="55" xfId="11" applyNumberFormat="1" applyFont="1" applyFill="1" applyBorder="1" applyAlignment="1">
      <alignment horizontal="center" vertical="center"/>
    </xf>
    <xf numFmtId="0" fontId="46" fillId="0" borderId="55" xfId="13" applyFont="1" applyBorder="1"/>
    <xf numFmtId="3" fontId="40" fillId="0" borderId="57" xfId="10" applyNumberFormat="1" applyFont="1" applyBorder="1" applyAlignment="1">
      <alignment vertical="center"/>
    </xf>
    <xf numFmtId="3" fontId="40" fillId="0" borderId="58" xfId="10" applyNumberFormat="1" applyFont="1" applyBorder="1" applyAlignment="1">
      <alignment vertical="center"/>
    </xf>
    <xf numFmtId="3" fontId="43" fillId="11" borderId="57" xfId="10" applyNumberFormat="1" applyFont="1" applyFill="1" applyBorder="1" applyAlignment="1">
      <alignment horizontal="right" vertical="center"/>
    </xf>
    <xf numFmtId="3" fontId="40" fillId="0" borderId="57" xfId="10" applyNumberFormat="1" applyFont="1" applyBorder="1" applyAlignment="1">
      <alignment horizontal="right" vertical="center"/>
    </xf>
    <xf numFmtId="166" fontId="33" fillId="0" borderId="0" xfId="2" applyNumberFormat="1" applyFont="1" applyAlignment="1">
      <alignment vertical="center"/>
    </xf>
    <xf numFmtId="0" fontId="46" fillId="0" borderId="50" xfId="13" applyFont="1" applyBorder="1"/>
    <xf numFmtId="164" fontId="33" fillId="0" borderId="39" xfId="11" applyNumberFormat="1" applyFont="1" applyFill="1" applyBorder="1" applyAlignment="1">
      <alignment horizontal="center" vertical="center"/>
    </xf>
    <xf numFmtId="16" fontId="26" fillId="16" borderId="41" xfId="10" applyNumberFormat="1" applyFont="1" applyFill="1" applyBorder="1" applyAlignment="1">
      <alignment vertical="center"/>
    </xf>
    <xf numFmtId="166" fontId="33" fillId="0" borderId="44" xfId="14" applyNumberFormat="1" applyFont="1" applyFill="1" applyBorder="1" applyAlignment="1">
      <alignment horizontal="center" vertical="center"/>
    </xf>
    <xf numFmtId="0" fontId="47" fillId="0" borderId="49" xfId="10" applyFont="1" applyBorder="1" applyAlignment="1">
      <alignment vertical="center"/>
    </xf>
    <xf numFmtId="3" fontId="43" fillId="0" borderId="57" xfId="10" applyNumberFormat="1" applyFont="1" applyBorder="1" applyAlignment="1">
      <alignment horizontal="right" vertical="center"/>
    </xf>
    <xf numFmtId="0" fontId="33" fillId="0" borderId="42" xfId="10" applyFont="1" applyBorder="1" applyAlignment="1">
      <alignment horizontal="right" vertical="center"/>
    </xf>
    <xf numFmtId="0" fontId="33" fillId="0" borderId="42" xfId="10" applyFont="1" applyBorder="1" applyAlignment="1">
      <alignment horizontal="center" vertical="center"/>
    </xf>
    <xf numFmtId="164" fontId="40" fillId="0" borderId="42" xfId="11" applyNumberFormat="1" applyFont="1" applyFill="1" applyBorder="1" applyAlignment="1">
      <alignment horizontal="center" vertical="center"/>
    </xf>
    <xf numFmtId="3" fontId="40" fillId="10" borderId="45" xfId="10" applyNumberFormat="1" applyFont="1" applyFill="1" applyBorder="1" applyAlignment="1">
      <alignment horizontal="right" vertical="center"/>
    </xf>
    <xf numFmtId="3" fontId="40" fillId="0" borderId="52" xfId="10" applyNumberFormat="1" applyFont="1" applyBorder="1" applyAlignment="1">
      <alignment horizontal="right" vertical="center"/>
    </xf>
    <xf numFmtId="0" fontId="28" fillId="0" borderId="42" xfId="10" applyFont="1" applyBorder="1" applyAlignment="1">
      <alignment horizontal="right" vertical="center"/>
    </xf>
    <xf numFmtId="0" fontId="33" fillId="0" borderId="50" xfId="10" applyFont="1" applyBorder="1" applyAlignment="1">
      <alignment horizontal="right" vertical="center"/>
    </xf>
    <xf numFmtId="164" fontId="40" fillId="0" borderId="54" xfId="11" applyNumberFormat="1" applyFont="1" applyFill="1" applyBorder="1" applyAlignment="1">
      <alignment horizontal="center" vertical="center"/>
    </xf>
    <xf numFmtId="3" fontId="40" fillId="17" borderId="45" xfId="10" applyNumberFormat="1" applyFont="1" applyFill="1" applyBorder="1" applyAlignment="1">
      <alignment horizontal="right" vertical="center"/>
    </xf>
    <xf numFmtId="14" fontId="33" fillId="0" borderId="54" xfId="10" applyNumberFormat="1" applyFont="1" applyBorder="1" applyAlignment="1">
      <alignment horizontal="right" vertical="center"/>
    </xf>
    <xf numFmtId="0" fontId="48" fillId="0" borderId="49" xfId="13" applyFont="1" applyBorder="1"/>
    <xf numFmtId="164" fontId="49" fillId="0" borderId="0" xfId="11" applyNumberFormat="1" applyFont="1" applyFill="1" applyBorder="1" applyAlignment="1">
      <alignment horizontal="center" vertical="center"/>
    </xf>
    <xf numFmtId="0" fontId="49" fillId="0" borderId="50" xfId="10" applyFont="1" applyBorder="1" applyAlignment="1">
      <alignment horizontal="center" vertical="center"/>
    </xf>
    <xf numFmtId="164" fontId="49" fillId="0" borderId="50" xfId="12" applyNumberFormat="1" applyFont="1" applyFill="1" applyBorder="1" applyAlignment="1">
      <alignment horizontal="center" vertical="center"/>
    </xf>
    <xf numFmtId="164" fontId="49" fillId="0" borderId="50" xfId="11" applyNumberFormat="1" applyFont="1" applyFill="1" applyBorder="1" applyAlignment="1">
      <alignment horizontal="center" vertical="center"/>
    </xf>
    <xf numFmtId="3" fontId="43" fillId="0" borderId="52" xfId="10" applyNumberFormat="1" applyFont="1" applyBorder="1" applyAlignment="1">
      <alignment vertical="center"/>
    </xf>
    <xf numFmtId="3" fontId="43" fillId="0" borderId="26" xfId="10" applyNumberFormat="1" applyFont="1" applyBorder="1" applyAlignment="1">
      <alignment vertical="center"/>
    </xf>
    <xf numFmtId="164" fontId="45" fillId="16" borderId="52" xfId="12" applyNumberFormat="1" applyFont="1" applyFill="1" applyBorder="1" applyAlignment="1">
      <alignment horizontal="right" vertical="center"/>
    </xf>
    <xf numFmtId="0" fontId="35" fillId="0" borderId="0" xfId="10" applyFont="1" applyAlignment="1">
      <alignment vertical="center"/>
    </xf>
    <xf numFmtId="0" fontId="33" fillId="0" borderId="0" xfId="0" applyFont="1" applyAlignment="1">
      <alignment vertical="center"/>
    </xf>
    <xf numFmtId="0" fontId="27" fillId="18" borderId="0" xfId="10" applyFont="1" applyFill="1" applyAlignment="1">
      <alignment vertical="center"/>
    </xf>
    <xf numFmtId="164" fontId="50" fillId="0" borderId="49" xfId="11" applyNumberFormat="1" applyFont="1" applyFill="1" applyBorder="1" applyAlignment="1">
      <alignment horizontal="center" vertical="center"/>
    </xf>
    <xf numFmtId="0" fontId="36" fillId="18" borderId="0" xfId="10" applyFont="1" applyFill="1" applyAlignment="1">
      <alignment vertical="center"/>
    </xf>
    <xf numFmtId="0" fontId="51" fillId="19" borderId="41" xfId="10" applyFont="1" applyFill="1" applyBorder="1" applyAlignment="1">
      <alignment vertical="center"/>
    </xf>
    <xf numFmtId="0" fontId="28" fillId="0" borderId="42" xfId="10" applyFont="1" applyBorder="1" applyAlignment="1">
      <alignment vertical="center" wrapText="1"/>
    </xf>
    <xf numFmtId="0" fontId="28" fillId="0" borderId="43" xfId="10" applyFont="1" applyBorder="1" applyAlignment="1">
      <alignment horizontal="center" vertical="center"/>
    </xf>
    <xf numFmtId="14" fontId="28" fillId="0" borderId="44" xfId="10" applyNumberFormat="1" applyFont="1" applyBorder="1" applyAlignment="1">
      <alignment horizontal="center" vertical="center"/>
    </xf>
    <xf numFmtId="3" fontId="45" fillId="0" borderId="57" xfId="10" applyNumberFormat="1" applyFont="1" applyBorder="1" applyAlignment="1">
      <alignment horizontal="right" vertical="center"/>
    </xf>
    <xf numFmtId="0" fontId="28" fillId="0" borderId="54" xfId="10" applyFont="1" applyBorder="1" applyAlignment="1">
      <alignment vertical="center" wrapText="1"/>
    </xf>
    <xf numFmtId="164" fontId="50" fillId="0" borderId="55" xfId="11" applyNumberFormat="1" applyFont="1" applyFill="1" applyBorder="1" applyAlignment="1">
      <alignment horizontal="center" vertical="center"/>
    </xf>
    <xf numFmtId="164" fontId="43" fillId="0" borderId="49" xfId="11" applyNumberFormat="1" applyFont="1" applyFill="1" applyBorder="1" applyAlignment="1">
      <alignment horizontal="center" vertical="center"/>
    </xf>
    <xf numFmtId="1" fontId="52" fillId="0" borderId="42" xfId="10" applyNumberFormat="1" applyFont="1" applyBorder="1" applyAlignment="1">
      <alignment horizontal="right" vertical="center"/>
    </xf>
    <xf numFmtId="3" fontId="50" fillId="0" borderId="45" xfId="10" applyNumberFormat="1" applyFont="1" applyBorder="1" applyAlignment="1">
      <alignment horizontal="right" vertical="center"/>
    </xf>
    <xf numFmtId="0" fontId="39" fillId="0" borderId="0" xfId="10" applyFont="1" applyAlignment="1">
      <alignment vertical="center"/>
    </xf>
    <xf numFmtId="0" fontId="33" fillId="0" borderId="49" xfId="10" applyFont="1" applyBorder="1" applyAlignment="1">
      <alignment vertical="center"/>
    </xf>
    <xf numFmtId="0" fontId="52" fillId="0" borderId="50" xfId="10" applyFont="1" applyBorder="1" applyAlignment="1">
      <alignment horizontal="center" vertical="center"/>
    </xf>
    <xf numFmtId="0" fontId="52" fillId="0" borderId="49" xfId="10" applyFont="1" applyBorder="1" applyAlignment="1">
      <alignment horizontal="right" vertical="center"/>
    </xf>
    <xf numFmtId="3" fontId="50" fillId="0" borderId="52" xfId="10" applyNumberFormat="1" applyFont="1" applyBorder="1" applyAlignment="1">
      <alignment horizontal="right" vertical="center"/>
    </xf>
    <xf numFmtId="0" fontId="26" fillId="20" borderId="41" xfId="10" applyFont="1" applyFill="1" applyBorder="1" applyAlignment="1">
      <alignment vertical="center"/>
    </xf>
    <xf numFmtId="3" fontId="40" fillId="20" borderId="45" xfId="10" applyNumberFormat="1" applyFont="1" applyFill="1" applyBorder="1" applyAlignment="1">
      <alignment horizontal="right" vertical="center"/>
    </xf>
    <xf numFmtId="0" fontId="26" fillId="20" borderId="48" xfId="10" applyFont="1" applyFill="1" applyBorder="1" applyAlignment="1">
      <alignment vertical="center"/>
    </xf>
    <xf numFmtId="3" fontId="45" fillId="20" borderId="52" xfId="10" applyNumberFormat="1" applyFont="1" applyFill="1" applyBorder="1" applyAlignment="1">
      <alignment horizontal="right" vertical="center"/>
    </xf>
    <xf numFmtId="0" fontId="54" fillId="0" borderId="29" xfId="15" applyFont="1" applyBorder="1"/>
    <xf numFmtId="0" fontId="33" fillId="0" borderId="60" xfId="15" applyFont="1" applyBorder="1" applyAlignment="1">
      <alignment horizontal="center" vertical="center" wrapText="1"/>
    </xf>
    <xf numFmtId="0" fontId="54" fillId="0" borderId="37" xfId="15" applyFont="1" applyBorder="1"/>
    <xf numFmtId="166" fontId="33" fillId="0" borderId="61" xfId="15" applyNumberFormat="1" applyFont="1" applyBorder="1" applyAlignment="1">
      <alignment horizontal="center" vertical="center"/>
    </xf>
    <xf numFmtId="3" fontId="45" fillId="10" borderId="52" xfId="10" applyNumberFormat="1" applyFont="1" applyFill="1" applyBorder="1" applyAlignment="1">
      <alignment horizontal="right" vertical="center"/>
    </xf>
    <xf numFmtId="0" fontId="26" fillId="21" borderId="41" xfId="10" applyFont="1" applyFill="1" applyBorder="1" applyAlignment="1">
      <alignment vertical="center"/>
    </xf>
    <xf numFmtId="0" fontId="26" fillId="21" borderId="48" xfId="10" applyFont="1" applyFill="1" applyBorder="1" applyAlignment="1">
      <alignment vertical="center"/>
    </xf>
    <xf numFmtId="0" fontId="26" fillId="0" borderId="0" xfId="10" applyFont="1" applyAlignment="1">
      <alignment vertical="center"/>
    </xf>
    <xf numFmtId="0" fontId="33" fillId="0" borderId="0" xfId="10" applyFont="1" applyAlignment="1">
      <alignment vertical="center"/>
    </xf>
    <xf numFmtId="0" fontId="33" fillId="0" borderId="0" xfId="10" applyFont="1" applyAlignment="1">
      <alignment horizontal="center" vertical="center"/>
    </xf>
    <xf numFmtId="0" fontId="33" fillId="0" borderId="0" xfId="10" applyFont="1" applyAlignment="1">
      <alignment horizontal="right" vertical="center"/>
    </xf>
    <xf numFmtId="164" fontId="45" fillId="0" borderId="0" xfId="11" applyNumberFormat="1" applyFont="1" applyFill="1" applyBorder="1" applyAlignment="1">
      <alignment horizontal="center" vertical="center"/>
    </xf>
    <xf numFmtId="164" fontId="40" fillId="0" borderId="0" xfId="11" applyNumberFormat="1" applyFont="1" applyFill="1" applyBorder="1" applyAlignment="1">
      <alignment horizontal="center" vertical="center"/>
    </xf>
    <xf numFmtId="0" fontId="46" fillId="0" borderId="0" xfId="13" applyFont="1"/>
    <xf numFmtId="164" fontId="33" fillId="0" borderId="0" xfId="12" applyNumberFormat="1" applyFont="1" applyFill="1" applyBorder="1" applyAlignment="1">
      <alignment horizontal="center" vertical="center"/>
    </xf>
    <xf numFmtId="3" fontId="40" fillId="0" borderId="0" xfId="10" applyNumberFormat="1" applyFont="1" applyAlignment="1">
      <alignment vertical="center"/>
    </xf>
    <xf numFmtId="0" fontId="40" fillId="0" borderId="0" xfId="10" applyFont="1" applyAlignment="1">
      <alignment horizontal="right" vertical="center"/>
    </xf>
    <xf numFmtId="3" fontId="40" fillId="0" borderId="0" xfId="10" applyNumberFormat="1" applyFont="1" applyAlignment="1">
      <alignment horizontal="right" vertical="center"/>
    </xf>
    <xf numFmtId="3" fontId="40" fillId="0" borderId="62" xfId="10" applyNumberFormat="1" applyFont="1" applyBorder="1" applyAlignment="1">
      <alignment horizontal="right" vertical="center"/>
    </xf>
    <xf numFmtId="3" fontId="40" fillId="18" borderId="62" xfId="10" applyNumberFormat="1" applyFont="1" applyFill="1" applyBorder="1" applyAlignment="1">
      <alignment horizontal="right" vertical="center"/>
    </xf>
    <xf numFmtId="0" fontId="40" fillId="0" borderId="0" xfId="10" applyFont="1" applyAlignment="1">
      <alignment vertical="center"/>
    </xf>
    <xf numFmtId="164" fontId="55" fillId="0" borderId="0" xfId="11" applyNumberFormat="1" applyFont="1" applyBorder="1"/>
    <xf numFmtId="164" fontId="27" fillId="0" borderId="0" xfId="11" applyNumberFormat="1" applyFont="1" applyBorder="1"/>
    <xf numFmtId="164" fontId="27" fillId="0" borderId="0" xfId="12" applyNumberFormat="1" applyFont="1" applyBorder="1"/>
    <xf numFmtId="3" fontId="36" fillId="0" borderId="0" xfId="10" applyNumberFormat="1" applyFont="1"/>
    <xf numFmtId="0" fontId="40" fillId="8" borderId="0" xfId="10" applyFont="1" applyFill="1" applyAlignment="1">
      <alignment vertical="center"/>
    </xf>
    <xf numFmtId="0" fontId="33" fillId="8" borderId="0" xfId="10" applyFont="1" applyFill="1" applyAlignment="1">
      <alignment vertical="center"/>
    </xf>
    <xf numFmtId="0" fontId="33" fillId="8" borderId="0" xfId="10" applyFont="1" applyFill="1" applyAlignment="1">
      <alignment horizontal="center" vertical="center"/>
    </xf>
    <xf numFmtId="0" fontId="28" fillId="8" borderId="0" xfId="10" applyFont="1" applyFill="1" applyAlignment="1">
      <alignment horizontal="right" vertical="center"/>
    </xf>
    <xf numFmtId="164" fontId="56" fillId="8" borderId="0" xfId="11" applyNumberFormat="1" applyFont="1" applyFill="1" applyBorder="1" applyAlignment="1">
      <alignment horizontal="center" vertical="center"/>
    </xf>
    <xf numFmtId="164" fontId="33" fillId="8" borderId="0" xfId="11" applyNumberFormat="1" applyFont="1" applyFill="1" applyBorder="1" applyAlignment="1">
      <alignment horizontal="center" vertical="center"/>
    </xf>
    <xf numFmtId="164" fontId="56" fillId="0" borderId="0" xfId="11" applyNumberFormat="1" applyFont="1" applyBorder="1" applyAlignment="1">
      <alignment horizontal="center" vertical="center"/>
    </xf>
    <xf numFmtId="164" fontId="33" fillId="0" borderId="0" xfId="11" applyNumberFormat="1" applyFont="1" applyBorder="1" applyAlignment="1">
      <alignment horizontal="center" vertical="center"/>
    </xf>
    <xf numFmtId="164" fontId="33" fillId="8" borderId="63" xfId="11" applyNumberFormat="1" applyFont="1" applyFill="1" applyBorder="1" applyAlignment="1">
      <alignment horizontal="center" vertical="center"/>
    </xf>
    <xf numFmtId="3" fontId="43" fillId="0" borderId="0" xfId="10" applyNumberFormat="1" applyFont="1" applyAlignment="1">
      <alignment horizontal="right" vertical="center"/>
    </xf>
    <xf numFmtId="3" fontId="40" fillId="8" borderId="0" xfId="10" applyNumberFormat="1" applyFont="1" applyFill="1" applyAlignment="1">
      <alignment horizontal="right" vertical="center"/>
    </xf>
    <xf numFmtId="3" fontId="40" fillId="8" borderId="64" xfId="10" applyNumberFormat="1" applyFont="1" applyFill="1" applyBorder="1" applyAlignment="1">
      <alignment horizontal="right" vertical="center"/>
    </xf>
    <xf numFmtId="43" fontId="36" fillId="0" borderId="0" xfId="1" applyFont="1" applyAlignment="1">
      <alignment vertical="center"/>
    </xf>
    <xf numFmtId="0" fontId="36" fillId="8" borderId="65" xfId="10" applyFont="1" applyFill="1" applyBorder="1" applyAlignment="1">
      <alignment horizontal="right"/>
    </xf>
    <xf numFmtId="0" fontId="33" fillId="8" borderId="65" xfId="10" applyFont="1" applyFill="1" applyBorder="1" applyAlignment="1">
      <alignment vertical="center"/>
    </xf>
    <xf numFmtId="0" fontId="33" fillId="8" borderId="65" xfId="10" applyFont="1" applyFill="1" applyBorder="1" applyAlignment="1">
      <alignment horizontal="center" vertical="center"/>
    </xf>
    <xf numFmtId="0" fontId="28" fillId="8" borderId="65" xfId="10" applyFont="1" applyFill="1" applyBorder="1" applyAlignment="1">
      <alignment horizontal="right" vertical="center"/>
    </xf>
    <xf numFmtId="0" fontId="45" fillId="8" borderId="65" xfId="10" applyFont="1" applyFill="1" applyBorder="1" applyAlignment="1">
      <alignment vertical="center"/>
    </xf>
    <xf numFmtId="0" fontId="40" fillId="8" borderId="65" xfId="10" applyFont="1" applyFill="1" applyBorder="1" applyAlignment="1">
      <alignment vertical="center"/>
    </xf>
    <xf numFmtId="164" fontId="56" fillId="8" borderId="65" xfId="11" applyNumberFormat="1" applyFont="1" applyFill="1" applyBorder="1" applyAlignment="1">
      <alignment horizontal="center" vertical="center"/>
    </xf>
    <xf numFmtId="164" fontId="33" fillId="8" borderId="65" xfId="11" applyNumberFormat="1" applyFont="1" applyFill="1" applyBorder="1" applyAlignment="1">
      <alignment horizontal="center" vertical="center"/>
    </xf>
    <xf numFmtId="164" fontId="56" fillId="0" borderId="65" xfId="11" applyNumberFormat="1" applyFont="1" applyBorder="1" applyAlignment="1">
      <alignment horizontal="center" vertical="center"/>
    </xf>
    <xf numFmtId="164" fontId="33" fillId="0" borderId="65" xfId="11" applyNumberFormat="1" applyFont="1" applyBorder="1" applyAlignment="1">
      <alignment horizontal="center" vertical="center"/>
    </xf>
    <xf numFmtId="3" fontId="43" fillId="0" borderId="65" xfId="10" applyNumberFormat="1" applyFont="1" applyBorder="1" applyAlignment="1">
      <alignment horizontal="right" vertical="center"/>
    </xf>
    <xf numFmtId="3" fontId="45" fillId="8" borderId="65" xfId="10" applyNumberFormat="1" applyFont="1" applyFill="1" applyBorder="1" applyAlignment="1">
      <alignment horizontal="right" vertical="center"/>
    </xf>
    <xf numFmtId="3" fontId="45" fillId="8" borderId="66" xfId="10" applyNumberFormat="1" applyFont="1" applyFill="1" applyBorder="1" applyAlignment="1">
      <alignment horizontal="right" vertical="center"/>
    </xf>
    <xf numFmtId="0" fontId="36" fillId="8" borderId="0" xfId="10" applyFont="1" applyFill="1" applyAlignment="1">
      <alignment horizontal="right"/>
    </xf>
    <xf numFmtId="3" fontId="40" fillId="8" borderId="67" xfId="10" applyNumberFormat="1" applyFont="1" applyFill="1" applyBorder="1" applyAlignment="1">
      <alignment horizontal="right" vertical="center"/>
    </xf>
    <xf numFmtId="0" fontId="36" fillId="0" borderId="0" xfId="10" applyFont="1" applyAlignment="1">
      <alignment horizontal="right"/>
    </xf>
    <xf numFmtId="0" fontId="28" fillId="0" borderId="0" xfId="10" applyFont="1" applyAlignment="1">
      <alignment horizontal="right" vertical="center"/>
    </xf>
    <xf numFmtId="164" fontId="56" fillId="0" borderId="0" xfId="11" applyNumberFormat="1" applyFont="1" applyFill="1" applyBorder="1" applyAlignment="1">
      <alignment horizontal="center" vertical="center"/>
    </xf>
    <xf numFmtId="3" fontId="57" fillId="0" borderId="67" xfId="10" applyNumberFormat="1" applyFont="1" applyBorder="1" applyAlignment="1">
      <alignment horizontal="right" vertical="center"/>
    </xf>
    <xf numFmtId="3" fontId="57" fillId="0" borderId="0" xfId="10" applyNumberFormat="1" applyFont="1" applyAlignment="1">
      <alignment horizontal="right" vertical="center"/>
    </xf>
    <xf numFmtId="0" fontId="40" fillId="22" borderId="0" xfId="10" applyFont="1" applyFill="1" applyAlignment="1">
      <alignment vertical="center"/>
    </xf>
    <xf numFmtId="0" fontId="33" fillId="22" borderId="0" xfId="10" applyFont="1" applyFill="1" applyAlignment="1">
      <alignment vertical="center"/>
    </xf>
    <xf numFmtId="0" fontId="33" fillId="22" borderId="0" xfId="10" applyFont="1" applyFill="1" applyAlignment="1">
      <alignment horizontal="center" vertical="center"/>
    </xf>
    <xf numFmtId="0" fontId="28" fillId="22" borderId="0" xfId="10" applyFont="1" applyFill="1" applyAlignment="1">
      <alignment horizontal="right" vertical="center"/>
    </xf>
    <xf numFmtId="164" fontId="56" fillId="22" borderId="0" xfId="11" applyNumberFormat="1" applyFont="1" applyFill="1" applyBorder="1" applyAlignment="1">
      <alignment horizontal="center" vertical="center"/>
    </xf>
    <xf numFmtId="164" fontId="33" fillId="22" borderId="0" xfId="11" applyNumberFormat="1" applyFont="1" applyFill="1" applyBorder="1" applyAlignment="1">
      <alignment horizontal="center" vertical="center"/>
    </xf>
    <xf numFmtId="3" fontId="40" fillId="22" borderId="0" xfId="10" applyNumberFormat="1" applyFont="1" applyFill="1" applyAlignment="1">
      <alignment horizontal="right" vertical="center"/>
    </xf>
    <xf numFmtId="3" fontId="40" fillId="22" borderId="67" xfId="10" applyNumberFormat="1" applyFont="1" applyFill="1" applyBorder="1" applyAlignment="1">
      <alignment horizontal="right" vertical="center"/>
    </xf>
    <xf numFmtId="0" fontId="36" fillId="22" borderId="65" xfId="10" applyFont="1" applyFill="1" applyBorder="1" applyAlignment="1">
      <alignment horizontal="right"/>
    </xf>
    <xf numFmtId="0" fontId="33" fillId="22" borderId="65" xfId="10" applyFont="1" applyFill="1" applyBorder="1" applyAlignment="1">
      <alignment vertical="center"/>
    </xf>
    <xf numFmtId="0" fontId="33" fillId="22" borderId="65" xfId="10" applyFont="1" applyFill="1" applyBorder="1" applyAlignment="1">
      <alignment horizontal="center" vertical="center"/>
    </xf>
    <xf numFmtId="0" fontId="28" fillId="22" borderId="65" xfId="10" applyFont="1" applyFill="1" applyBorder="1" applyAlignment="1">
      <alignment horizontal="right" vertical="center"/>
    </xf>
    <xf numFmtId="0" fontId="45" fillId="22" borderId="65" xfId="10" applyFont="1" applyFill="1" applyBorder="1" applyAlignment="1">
      <alignment vertical="center"/>
    </xf>
    <xf numFmtId="0" fontId="40" fillId="22" borderId="65" xfId="10" applyFont="1" applyFill="1" applyBorder="1" applyAlignment="1">
      <alignment vertical="center"/>
    </xf>
    <xf numFmtId="164" fontId="56" fillId="22" borderId="65" xfId="11" applyNumberFormat="1" applyFont="1" applyFill="1" applyBorder="1" applyAlignment="1">
      <alignment horizontal="center" vertical="center"/>
    </xf>
    <xf numFmtId="164" fontId="33" fillId="22" borderId="65" xfId="11" applyNumberFormat="1" applyFont="1" applyFill="1" applyBorder="1" applyAlignment="1">
      <alignment horizontal="center" vertical="center"/>
    </xf>
    <xf numFmtId="3" fontId="45" fillId="22" borderId="65" xfId="10" applyNumberFormat="1" applyFont="1" applyFill="1" applyBorder="1" applyAlignment="1">
      <alignment horizontal="right" vertical="center"/>
    </xf>
    <xf numFmtId="3" fontId="45" fillId="22" borderId="66" xfId="10" applyNumberFormat="1" applyFont="1" applyFill="1" applyBorder="1" applyAlignment="1">
      <alignment horizontal="right" vertical="center"/>
    </xf>
    <xf numFmtId="0" fontId="36" fillId="22" borderId="0" xfId="10" applyFont="1" applyFill="1" applyAlignment="1">
      <alignment horizontal="right"/>
    </xf>
    <xf numFmtId="0" fontId="40" fillId="23" borderId="0" xfId="10" applyFont="1" applyFill="1" applyAlignment="1">
      <alignment vertical="center"/>
    </xf>
    <xf numFmtId="0" fontId="33" fillId="23" borderId="0" xfId="10" applyFont="1" applyFill="1" applyAlignment="1">
      <alignment vertical="center"/>
    </xf>
    <xf numFmtId="0" fontId="33" fillId="23" borderId="0" xfId="10" applyFont="1" applyFill="1" applyAlignment="1">
      <alignment horizontal="center" vertical="center"/>
    </xf>
    <xf numFmtId="0" fontId="28" fillId="23" borderId="0" xfId="10" applyFont="1" applyFill="1" applyAlignment="1">
      <alignment horizontal="right" vertical="center"/>
    </xf>
    <xf numFmtId="164" fontId="56" fillId="23" borderId="0" xfId="11" applyNumberFormat="1" applyFont="1" applyFill="1" applyBorder="1" applyAlignment="1">
      <alignment horizontal="center" vertical="center"/>
    </xf>
    <xf numFmtId="164" fontId="33" fillId="23" borderId="0" xfId="11" applyNumberFormat="1" applyFont="1" applyFill="1" applyBorder="1" applyAlignment="1">
      <alignment horizontal="center" vertical="center"/>
    </xf>
    <xf numFmtId="3" fontId="40" fillId="23" borderId="0" xfId="10" applyNumberFormat="1" applyFont="1" applyFill="1" applyAlignment="1">
      <alignment horizontal="right" vertical="center"/>
    </xf>
    <xf numFmtId="3" fontId="40" fillId="23" borderId="67" xfId="10" applyNumberFormat="1" applyFont="1" applyFill="1" applyBorder="1" applyAlignment="1">
      <alignment horizontal="right" vertical="center"/>
    </xf>
    <xf numFmtId="0" fontId="36" fillId="23" borderId="65" xfId="10" applyFont="1" applyFill="1" applyBorder="1" applyAlignment="1">
      <alignment horizontal="right"/>
    </xf>
    <xf numFmtId="0" fontId="33" fillId="23" borderId="65" xfId="10" applyFont="1" applyFill="1" applyBorder="1" applyAlignment="1">
      <alignment vertical="center"/>
    </xf>
    <xf numFmtId="0" fontId="33" fillId="23" borderId="65" xfId="10" applyFont="1" applyFill="1" applyBorder="1" applyAlignment="1">
      <alignment horizontal="center" vertical="center"/>
    </xf>
    <xf numFmtId="0" fontId="28" fillId="23" borderId="65" xfId="10" applyFont="1" applyFill="1" applyBorder="1" applyAlignment="1">
      <alignment horizontal="right" vertical="center"/>
    </xf>
    <xf numFmtId="0" fontId="45" fillId="23" borderId="65" xfId="10" applyFont="1" applyFill="1" applyBorder="1" applyAlignment="1">
      <alignment vertical="center"/>
    </xf>
    <xf numFmtId="0" fontId="40" fillId="23" borderId="65" xfId="10" applyFont="1" applyFill="1" applyBorder="1" applyAlignment="1">
      <alignment vertical="center"/>
    </xf>
    <xf numFmtId="164" fontId="56" fillId="23" borderId="65" xfId="11" applyNumberFormat="1" applyFont="1" applyFill="1" applyBorder="1" applyAlignment="1">
      <alignment horizontal="center" vertical="center"/>
    </xf>
    <xf numFmtId="164" fontId="33" fillId="23" borderId="65" xfId="11" applyNumberFormat="1" applyFont="1" applyFill="1" applyBorder="1" applyAlignment="1">
      <alignment horizontal="center" vertical="center"/>
    </xf>
    <xf numFmtId="3" fontId="45" fillId="23" borderId="65" xfId="10" applyNumberFormat="1" applyFont="1" applyFill="1" applyBorder="1" applyAlignment="1">
      <alignment horizontal="right" vertical="center"/>
    </xf>
    <xf numFmtId="3" fontId="45" fillId="23" borderId="66" xfId="10" applyNumberFormat="1" applyFont="1" applyFill="1" applyBorder="1" applyAlignment="1">
      <alignment horizontal="right" vertical="center"/>
    </xf>
    <xf numFmtId="0" fontId="36" fillId="23" borderId="0" xfId="10" applyFont="1" applyFill="1" applyAlignment="1">
      <alignment horizontal="right"/>
    </xf>
    <xf numFmtId="3" fontId="40" fillId="23" borderId="68" xfId="10" applyNumberFormat="1" applyFont="1" applyFill="1" applyBorder="1" applyAlignment="1">
      <alignment horizontal="right" vertical="center"/>
    </xf>
    <xf numFmtId="164" fontId="52" fillId="0" borderId="0" xfId="12" applyNumberFormat="1" applyFont="1" applyBorder="1" applyAlignment="1">
      <alignment horizontal="center" vertical="center"/>
    </xf>
    <xf numFmtId="164" fontId="52" fillId="0" borderId="0" xfId="11" applyNumberFormat="1" applyFont="1" applyBorder="1" applyAlignment="1">
      <alignment horizontal="center" vertical="center"/>
    </xf>
    <xf numFmtId="3" fontId="58" fillId="0" borderId="0" xfId="10" applyNumberFormat="1" applyFont="1" applyAlignment="1">
      <alignment horizontal="right" vertical="center"/>
    </xf>
    <xf numFmtId="167" fontId="40" fillId="0" borderId="0" xfId="10" applyNumberFormat="1" applyFont="1" applyAlignment="1">
      <alignment horizontal="right" vertical="center"/>
    </xf>
    <xf numFmtId="43" fontId="36" fillId="0" borderId="0" xfId="10" applyNumberFormat="1" applyFont="1" applyAlignment="1">
      <alignment vertical="center"/>
    </xf>
    <xf numFmtId="0" fontId="43" fillId="15" borderId="32" xfId="10" applyFont="1" applyFill="1" applyBorder="1" applyAlignment="1">
      <alignment horizontal="center" vertical="center" wrapText="1"/>
    </xf>
    <xf numFmtId="0" fontId="59" fillId="0" borderId="39" xfId="13" applyFont="1" applyBorder="1"/>
    <xf numFmtId="0" fontId="33" fillId="0" borderId="39" xfId="10" applyFont="1" applyBorder="1" applyAlignment="1">
      <alignment vertical="center"/>
    </xf>
    <xf numFmtId="0" fontId="33" fillId="0" borderId="39" xfId="10" applyFont="1" applyBorder="1" applyAlignment="1">
      <alignment horizontal="center" vertical="center"/>
    </xf>
    <xf numFmtId="0" fontId="28" fillId="0" borderId="39" xfId="10" applyFont="1" applyBorder="1" applyAlignment="1">
      <alignment horizontal="right" vertical="center"/>
    </xf>
    <xf numFmtId="0" fontId="33" fillId="0" borderId="39" xfId="10" applyFont="1" applyBorder="1" applyAlignment="1">
      <alignment horizontal="right" vertical="center"/>
    </xf>
    <xf numFmtId="164" fontId="56" fillId="0" borderId="39" xfId="11" applyNumberFormat="1" applyFont="1" applyBorder="1" applyAlignment="1">
      <alignment horizontal="center" vertical="center"/>
    </xf>
    <xf numFmtId="164" fontId="33" fillId="0" borderId="39" xfId="11" applyNumberFormat="1" applyFont="1" applyBorder="1" applyAlignment="1">
      <alignment horizontal="center" vertical="center"/>
    </xf>
    <xf numFmtId="164" fontId="52" fillId="0" borderId="39" xfId="12" applyNumberFormat="1" applyFont="1" applyBorder="1" applyAlignment="1">
      <alignment horizontal="center" vertical="center"/>
    </xf>
    <xf numFmtId="164" fontId="52" fillId="0" borderId="39" xfId="11" applyNumberFormat="1" applyFont="1" applyBorder="1" applyAlignment="1">
      <alignment horizontal="center" vertical="center"/>
    </xf>
    <xf numFmtId="3" fontId="40" fillId="0" borderId="39" xfId="10" applyNumberFormat="1" applyFont="1" applyBorder="1" applyAlignment="1">
      <alignment vertical="center"/>
    </xf>
    <xf numFmtId="3" fontId="43" fillId="0" borderId="39" xfId="10" applyNumberFormat="1" applyFont="1" applyBorder="1" applyAlignment="1">
      <alignment horizontal="right" vertical="center"/>
    </xf>
    <xf numFmtId="3" fontId="40" fillId="0" borderId="39" xfId="10" applyNumberFormat="1" applyFont="1" applyBorder="1" applyAlignment="1">
      <alignment horizontal="right" vertical="center"/>
    </xf>
    <xf numFmtId="164" fontId="26" fillId="0" borderId="69" xfId="11" applyNumberFormat="1" applyFont="1" applyFill="1" applyBorder="1" applyAlignment="1">
      <alignment horizontal="center" vertical="center"/>
    </xf>
    <xf numFmtId="0" fontId="33" fillId="0" borderId="55" xfId="10" applyFont="1" applyBorder="1" applyAlignment="1">
      <alignment vertical="center"/>
    </xf>
    <xf numFmtId="0" fontId="33" fillId="0" borderId="54" xfId="10" applyFont="1" applyBorder="1" applyAlignment="1">
      <alignment vertical="center"/>
    </xf>
    <xf numFmtId="14" fontId="28" fillId="0" borderId="54" xfId="10" applyNumberFormat="1" applyFont="1" applyBorder="1" applyAlignment="1">
      <alignment horizontal="right" vertical="center"/>
    </xf>
    <xf numFmtId="164" fontId="56" fillId="0" borderId="55" xfId="11" applyNumberFormat="1" applyFont="1" applyFill="1" applyBorder="1" applyAlignment="1">
      <alignment horizontal="center" vertical="center"/>
    </xf>
    <xf numFmtId="164" fontId="33" fillId="0" borderId="69" xfId="11" applyNumberFormat="1" applyFont="1" applyFill="1" applyBorder="1" applyAlignment="1">
      <alignment horizontal="center" vertical="center"/>
    </xf>
    <xf numFmtId="164" fontId="52" fillId="0" borderId="55" xfId="12" applyNumberFormat="1" applyFont="1" applyBorder="1" applyAlignment="1">
      <alignment horizontal="center" vertical="center"/>
    </xf>
    <xf numFmtId="164" fontId="52" fillId="0" borderId="55" xfId="11" applyNumberFormat="1" applyFont="1" applyBorder="1" applyAlignment="1">
      <alignment horizontal="center" vertical="center"/>
    </xf>
    <xf numFmtId="0" fontId="26" fillId="0" borderId="48" xfId="10" applyFont="1" applyBorder="1" applyAlignment="1">
      <alignment vertical="center"/>
    </xf>
    <xf numFmtId="0" fontId="33" fillId="0" borderId="50" xfId="10" applyFont="1" applyBorder="1" applyAlignment="1">
      <alignment vertical="center"/>
    </xf>
    <xf numFmtId="164" fontId="56" fillId="0" borderId="50" xfId="11" applyNumberFormat="1" applyFont="1" applyBorder="1" applyAlignment="1">
      <alignment horizontal="center" vertical="center"/>
    </xf>
    <xf numFmtId="164" fontId="33" fillId="0" borderId="50" xfId="11" applyNumberFormat="1" applyFont="1" applyBorder="1" applyAlignment="1">
      <alignment horizontal="center" vertical="center"/>
    </xf>
    <xf numFmtId="164" fontId="52" fillId="0" borderId="50" xfId="12" applyNumberFormat="1" applyFont="1" applyBorder="1" applyAlignment="1">
      <alignment horizontal="center" vertical="center"/>
    </xf>
    <xf numFmtId="164" fontId="52" fillId="0" borderId="50" xfId="11" applyNumberFormat="1" applyFont="1" applyBorder="1" applyAlignment="1">
      <alignment horizontal="center" vertical="center"/>
    </xf>
    <xf numFmtId="0" fontId="26" fillId="0" borderId="53" xfId="10" applyFont="1" applyBorder="1" applyAlignment="1">
      <alignment vertical="center"/>
    </xf>
    <xf numFmtId="164" fontId="40" fillId="0" borderId="57" xfId="12" applyNumberFormat="1" applyFont="1" applyBorder="1" applyAlignment="1">
      <alignment horizontal="right" vertical="center"/>
    </xf>
    <xf numFmtId="0" fontId="33" fillId="0" borderId="58" xfId="10" applyFont="1" applyBorder="1" applyAlignment="1">
      <alignment vertical="center"/>
    </xf>
    <xf numFmtId="164" fontId="33" fillId="0" borderId="55" xfId="12" applyNumberFormat="1" applyFont="1" applyBorder="1" applyAlignment="1">
      <alignment horizontal="center" vertical="center"/>
    </xf>
    <xf numFmtId="164" fontId="33" fillId="0" borderId="55" xfId="11" applyNumberFormat="1" applyFont="1" applyBorder="1" applyAlignment="1">
      <alignment horizontal="center" vertical="center"/>
    </xf>
    <xf numFmtId="164" fontId="45" fillId="0" borderId="50" xfId="11" applyNumberFormat="1" applyFont="1" applyBorder="1" applyAlignment="1">
      <alignment horizontal="center" vertical="center"/>
    </xf>
    <xf numFmtId="164" fontId="33" fillId="0" borderId="50" xfId="12" applyNumberFormat="1" applyFont="1" applyBorder="1" applyAlignment="1">
      <alignment horizontal="center" vertical="center"/>
    </xf>
    <xf numFmtId="0" fontId="40" fillId="0" borderId="58" xfId="10" applyFont="1" applyBorder="1" applyAlignment="1">
      <alignment vertical="center"/>
    </xf>
    <xf numFmtId="0" fontId="40" fillId="0" borderId="0" xfId="10" applyFont="1" applyAlignment="1">
      <alignment horizontal="center" vertical="center"/>
    </xf>
    <xf numFmtId="164" fontId="42" fillId="0" borderId="0" xfId="11" applyNumberFormat="1" applyFont="1" applyFill="1" applyBorder="1" applyAlignment="1">
      <alignment horizontal="center" vertical="center"/>
    </xf>
    <xf numFmtId="164" fontId="40" fillId="0" borderId="0" xfId="12" applyNumberFormat="1" applyFont="1" applyFill="1" applyBorder="1" applyAlignment="1">
      <alignment horizontal="center" vertical="center"/>
    </xf>
    <xf numFmtId="3" fontId="40" fillId="15" borderId="0" xfId="10" applyNumberFormat="1" applyFont="1" applyFill="1" applyAlignment="1">
      <alignment horizontal="right" vertical="center"/>
    </xf>
    <xf numFmtId="164" fontId="56" fillId="0" borderId="0" xfId="11" applyNumberFormat="1" applyFont="1" applyAlignment="1">
      <alignment vertical="center"/>
    </xf>
    <xf numFmtId="164" fontId="33" fillId="0" borderId="0" xfId="11" applyNumberFormat="1" applyFont="1" applyAlignment="1">
      <alignment vertical="center"/>
    </xf>
    <xf numFmtId="164" fontId="52" fillId="0" borderId="0" xfId="12" applyNumberFormat="1" applyFont="1" applyAlignment="1">
      <alignment vertical="center"/>
    </xf>
    <xf numFmtId="164" fontId="52" fillId="0" borderId="0" xfId="11" applyNumberFormat="1" applyFont="1" applyAlignment="1">
      <alignment vertical="center"/>
    </xf>
    <xf numFmtId="0" fontId="43" fillId="0" borderId="0" xfId="10" applyFont="1" applyAlignment="1">
      <alignment vertical="center"/>
    </xf>
    <xf numFmtId="164" fontId="40" fillId="0" borderId="0" xfId="1" applyNumberFormat="1" applyFont="1" applyAlignment="1">
      <alignment vertical="center"/>
    </xf>
    <xf numFmtId="0" fontId="26" fillId="0" borderId="14" xfId="10" applyFont="1" applyBorder="1" applyAlignment="1">
      <alignment vertical="center"/>
    </xf>
    <xf numFmtId="0" fontId="40" fillId="0" borderId="70" xfId="10" applyFont="1" applyBorder="1" applyAlignment="1">
      <alignment vertical="center"/>
    </xf>
    <xf numFmtId="0" fontId="40" fillId="0" borderId="15" xfId="10" applyFont="1" applyBorder="1" applyAlignment="1">
      <alignment horizontal="center" vertical="center"/>
    </xf>
    <xf numFmtId="0" fontId="41" fillId="0" borderId="70" xfId="10" applyFont="1" applyBorder="1" applyAlignment="1">
      <alignment horizontal="right" vertical="center"/>
    </xf>
    <xf numFmtId="0" fontId="40" fillId="0" borderId="70" xfId="10" applyFont="1" applyBorder="1" applyAlignment="1">
      <alignment horizontal="right" vertical="center"/>
    </xf>
    <xf numFmtId="0" fontId="40" fillId="0" borderId="1" xfId="10" applyFont="1" applyBorder="1" applyAlignment="1">
      <alignment horizontal="center" vertical="center"/>
    </xf>
    <xf numFmtId="164" fontId="60" fillId="0" borderId="15" xfId="11" applyNumberFormat="1" applyFont="1" applyBorder="1" applyAlignment="1">
      <alignment horizontal="center" vertical="center"/>
    </xf>
    <xf numFmtId="164" fontId="40" fillId="0" borderId="15" xfId="11" applyNumberFormat="1" applyFont="1" applyBorder="1" applyAlignment="1">
      <alignment horizontal="center" vertical="center"/>
    </xf>
    <xf numFmtId="164" fontId="50" fillId="0" borderId="15" xfId="12" applyNumberFormat="1" applyFont="1" applyBorder="1" applyAlignment="1">
      <alignment horizontal="center" vertical="center"/>
    </xf>
    <xf numFmtId="164" fontId="50" fillId="0" borderId="15" xfId="11" applyNumberFormat="1" applyFont="1" applyBorder="1" applyAlignment="1">
      <alignment horizontal="center" vertical="center"/>
    </xf>
    <xf numFmtId="3" fontId="40" fillId="0" borderId="2" xfId="10" applyNumberFormat="1" applyFont="1" applyBorder="1" applyAlignment="1">
      <alignment vertical="center"/>
    </xf>
    <xf numFmtId="0" fontId="40" fillId="0" borderId="2" xfId="10" applyFont="1" applyBorder="1" applyAlignment="1">
      <alignment horizontal="center" vertical="center"/>
    </xf>
    <xf numFmtId="3" fontId="43" fillId="15" borderId="2" xfId="10" applyNumberFormat="1" applyFont="1" applyFill="1" applyBorder="1" applyAlignment="1">
      <alignment vertical="center"/>
    </xf>
    <xf numFmtId="3" fontId="40" fillId="15" borderId="2" xfId="10" applyNumberFormat="1" applyFont="1" applyFill="1" applyBorder="1" applyAlignment="1">
      <alignment vertical="center"/>
    </xf>
    <xf numFmtId="0" fontId="36" fillId="0" borderId="62" xfId="10" applyFont="1" applyBorder="1" applyAlignment="1">
      <alignment wrapText="1"/>
    </xf>
    <xf numFmtId="165" fontId="35" fillId="22" borderId="0" xfId="14" applyNumberFormat="1" applyFont="1" applyFill="1"/>
    <xf numFmtId="165" fontId="61" fillId="22" borderId="0" xfId="14" applyNumberFormat="1" applyFont="1" applyFill="1"/>
    <xf numFmtId="165" fontId="36" fillId="22" borderId="0" xfId="14" applyNumberFormat="1" applyFont="1" applyFill="1"/>
    <xf numFmtId="0" fontId="61" fillId="0" borderId="0" xfId="10" applyFont="1"/>
    <xf numFmtId="164" fontId="29" fillId="0" borderId="0" xfId="11" applyNumberFormat="1" applyFont="1" applyFill="1" applyBorder="1"/>
    <xf numFmtId="164" fontId="27" fillId="0" borderId="0" xfId="11" applyNumberFormat="1" applyFont="1" applyFill="1" applyBorder="1"/>
    <xf numFmtId="164" fontId="30" fillId="0" borderId="0" xfId="12" applyNumberFormat="1" applyFont="1" applyFill="1" applyBorder="1"/>
    <xf numFmtId="164" fontId="30" fillId="0" borderId="0" xfId="11" applyNumberFormat="1" applyFont="1" applyFill="1" applyBorder="1"/>
    <xf numFmtId="0" fontId="41" fillId="0" borderId="0" xfId="10" applyFont="1" applyAlignment="1">
      <alignment horizontal="right" vertical="center"/>
    </xf>
    <xf numFmtId="164" fontId="60" fillId="0" borderId="0" xfId="11" applyNumberFormat="1" applyFont="1" applyFill="1" applyBorder="1" applyAlignment="1">
      <alignment horizontal="center" vertical="center"/>
    </xf>
    <xf numFmtId="164" fontId="50" fillId="0" borderId="0" xfId="12" applyNumberFormat="1" applyFont="1" applyFill="1" applyBorder="1" applyAlignment="1">
      <alignment horizontal="center" vertical="center"/>
    </xf>
    <xf numFmtId="164" fontId="50" fillId="0" borderId="0" xfId="11" applyNumberFormat="1" applyFont="1" applyFill="1" applyBorder="1" applyAlignment="1">
      <alignment horizontal="center" vertical="center"/>
    </xf>
    <xf numFmtId="3" fontId="43" fillId="0" borderId="0" xfId="10" applyNumberFormat="1" applyFont="1" applyAlignment="1">
      <alignment vertical="center"/>
    </xf>
    <xf numFmtId="0" fontId="36" fillId="0" borderId="0" xfId="10" applyFont="1" applyAlignment="1">
      <alignment wrapText="1"/>
    </xf>
    <xf numFmtId="0" fontId="41" fillId="0" borderId="0" xfId="10" applyFont="1" applyAlignment="1">
      <alignment horizontal="right"/>
    </xf>
    <xf numFmtId="164" fontId="62" fillId="0" borderId="0" xfId="11" applyNumberFormat="1" applyFont="1" applyFill="1" applyBorder="1"/>
    <xf numFmtId="164" fontId="36" fillId="0" borderId="0" xfId="11" applyNumberFormat="1" applyFont="1" applyFill="1" applyBorder="1"/>
    <xf numFmtId="164" fontId="39" fillId="0" borderId="0" xfId="12" applyNumberFormat="1" applyFont="1" applyFill="1" applyBorder="1"/>
    <xf numFmtId="164" fontId="39" fillId="0" borderId="0" xfId="11" applyNumberFormat="1" applyFont="1" applyFill="1" applyBorder="1"/>
    <xf numFmtId="165" fontId="36" fillId="0" borderId="0" xfId="14" applyNumberFormat="1" applyFont="1" applyFill="1" applyBorder="1"/>
    <xf numFmtId="165" fontId="35" fillId="0" borderId="0" xfId="14" applyNumberFormat="1" applyFont="1" applyFill="1" applyBorder="1"/>
    <xf numFmtId="0" fontId="40" fillId="0" borderId="0" xfId="10" applyFont="1"/>
    <xf numFmtId="3" fontId="30" fillId="0" borderId="0" xfId="10" applyNumberFormat="1" applyFont="1"/>
    <xf numFmtId="43" fontId="27" fillId="0" borderId="0" xfId="10" applyNumberFormat="1" applyFont="1"/>
    <xf numFmtId="43" fontId="27" fillId="0" borderId="0" xfId="1" applyFont="1" applyFill="1" applyBorder="1"/>
    <xf numFmtId="164" fontId="27" fillId="0" borderId="0" xfId="1" applyNumberFormat="1" applyFont="1" applyFill="1" applyBorder="1"/>
    <xf numFmtId="3" fontId="62" fillId="0" borderId="0" xfId="10" applyNumberFormat="1" applyFont="1"/>
    <xf numFmtId="0" fontId="33" fillId="0" borderId="0" xfId="10" applyFont="1" applyAlignment="1">
      <alignment horizontal="right"/>
    </xf>
    <xf numFmtId="3" fontId="33" fillId="0" borderId="0" xfId="10" applyNumberFormat="1" applyFont="1"/>
    <xf numFmtId="164" fontId="29" fillId="0" borderId="0" xfId="11" applyNumberFormat="1" applyFont="1" applyBorder="1"/>
    <xf numFmtId="0" fontId="33" fillId="0" borderId="39" xfId="10" applyFont="1" applyBorder="1"/>
    <xf numFmtId="164" fontId="56" fillId="0" borderId="39" xfId="11" applyNumberFormat="1" applyFont="1" applyBorder="1"/>
    <xf numFmtId="164" fontId="33" fillId="0" borderId="39" xfId="11" applyNumberFormat="1" applyFont="1" applyBorder="1"/>
    <xf numFmtId="164" fontId="52" fillId="0" borderId="39" xfId="12" applyNumberFormat="1" applyFont="1" applyBorder="1"/>
    <xf numFmtId="164" fontId="52" fillId="0" borderId="39" xfId="11" applyNumberFormat="1" applyFont="1" applyBorder="1"/>
    <xf numFmtId="0" fontId="33" fillId="0" borderId="39" xfId="10" applyFont="1" applyBorder="1" applyAlignment="1">
      <alignment horizontal="right"/>
    </xf>
    <xf numFmtId="0" fontId="49" fillId="0" borderId="0" xfId="10" applyFont="1"/>
    <xf numFmtId="0" fontId="40" fillId="0" borderId="50" xfId="10" applyFont="1" applyBorder="1" applyAlignment="1">
      <alignment horizontal="right" wrapText="1"/>
    </xf>
    <xf numFmtId="0" fontId="40" fillId="0" borderId="39" xfId="10" applyFont="1" applyBorder="1" applyAlignment="1">
      <alignment horizontal="right" wrapText="1"/>
    </xf>
    <xf numFmtId="164" fontId="33" fillId="0" borderId="0" xfId="11" applyNumberFormat="1" applyFont="1" applyFill="1" applyBorder="1"/>
    <xf numFmtId="164" fontId="56" fillId="0" borderId="0" xfId="11" applyNumberFormat="1" applyFont="1" applyFill="1" applyBorder="1"/>
    <xf numFmtId="3" fontId="36" fillId="0" borderId="0" xfId="10" applyNumberFormat="1" applyFont="1" applyAlignment="1">
      <alignment horizontal="right"/>
    </xf>
    <xf numFmtId="3" fontId="40" fillId="0" borderId="0" xfId="10" applyNumberFormat="1" applyFont="1"/>
    <xf numFmtId="3" fontId="40" fillId="0" borderId="55" xfId="10" applyNumberFormat="1" applyFont="1" applyBorder="1"/>
    <xf numFmtId="0" fontId="63" fillId="0" borderId="0" xfId="10" applyFont="1" applyAlignment="1">
      <alignment vertical="center"/>
    </xf>
    <xf numFmtId="0" fontId="27" fillId="0" borderId="0" xfId="10" applyFont="1" applyAlignment="1">
      <alignment horizontal="left"/>
    </xf>
    <xf numFmtId="164" fontId="33" fillId="0" borderId="39" xfId="11" applyNumberFormat="1" applyFont="1" applyFill="1" applyBorder="1"/>
    <xf numFmtId="164" fontId="56" fillId="0" borderId="39" xfId="11" applyNumberFormat="1" applyFont="1" applyFill="1" applyBorder="1"/>
    <xf numFmtId="0" fontId="27" fillId="0" borderId="39" xfId="10" applyFont="1" applyBorder="1"/>
    <xf numFmtId="164" fontId="30" fillId="0" borderId="39" xfId="12" applyNumberFormat="1" applyFont="1" applyFill="1" applyBorder="1"/>
    <xf numFmtId="164" fontId="30" fillId="0" borderId="39" xfId="11" applyNumberFormat="1" applyFont="1" applyFill="1" applyBorder="1"/>
    <xf numFmtId="0" fontId="36" fillId="0" borderId="39" xfId="10" applyFont="1" applyBorder="1" applyAlignment="1">
      <alignment horizontal="right"/>
    </xf>
    <xf numFmtId="3" fontId="40" fillId="0" borderId="50" xfId="10" applyNumberFormat="1" applyFont="1" applyBorder="1"/>
    <xf numFmtId="164" fontId="27" fillId="0" borderId="0" xfId="11" applyNumberFormat="1" applyFont="1" applyFill="1" applyBorder="1" applyAlignment="1">
      <alignment horizontal="left"/>
    </xf>
    <xf numFmtId="3" fontId="43" fillId="0" borderId="0" xfId="10" applyNumberFormat="1" applyFont="1"/>
    <xf numFmtId="164" fontId="27" fillId="0" borderId="0" xfId="11" applyNumberFormat="1" applyFont="1" applyAlignment="1">
      <alignment horizontal="left"/>
    </xf>
    <xf numFmtId="0" fontId="64" fillId="0" borderId="0" xfId="13" applyFont="1"/>
    <xf numFmtId="49" fontId="41" fillId="0" borderId="0" xfId="16" applyNumberFormat="1" applyFont="1" applyAlignment="1">
      <alignment wrapText="1"/>
    </xf>
    <xf numFmtId="3" fontId="28" fillId="0" borderId="0" xfId="16" applyNumberFormat="1" applyFont="1"/>
    <xf numFmtId="0" fontId="28" fillId="0" borderId="0" xfId="16" applyFont="1"/>
    <xf numFmtId="3" fontId="65" fillId="0" borderId="0" xfId="16" applyNumberFormat="1" applyFont="1"/>
    <xf numFmtId="0" fontId="66" fillId="0" borderId="0" xfId="16" applyFont="1"/>
    <xf numFmtId="0" fontId="67" fillId="0" borderId="0" xfId="13" applyFont="1"/>
    <xf numFmtId="0" fontId="68" fillId="0" borderId="0" xfId="16" applyFont="1"/>
    <xf numFmtId="0" fontId="69" fillId="0" borderId="0" xfId="16" applyFont="1"/>
    <xf numFmtId="0" fontId="70" fillId="0" borderId="0" xfId="16" applyFont="1"/>
    <xf numFmtId="3" fontId="71" fillId="0" borderId="0" xfId="16" applyNumberFormat="1" applyFont="1"/>
    <xf numFmtId="3" fontId="69" fillId="0" borderId="0" xfId="16" applyNumberFormat="1" applyFont="1"/>
    <xf numFmtId="0" fontId="33" fillId="0" borderId="0" xfId="16" applyFont="1"/>
    <xf numFmtId="0" fontId="72" fillId="0" borderId="0" xfId="10" applyFont="1"/>
    <xf numFmtId="3" fontId="73" fillId="0" borderId="0" xfId="16" applyNumberFormat="1" applyFont="1"/>
    <xf numFmtId="0" fontId="74" fillId="0" borderId="0" xfId="10" applyFont="1"/>
    <xf numFmtId="0" fontId="75" fillId="0" borderId="0" xfId="10" applyFont="1"/>
    <xf numFmtId="0" fontId="65" fillId="0" borderId="0" xfId="10" applyFont="1" applyAlignment="1">
      <alignment horizontal="right"/>
    </xf>
    <xf numFmtId="0" fontId="75" fillId="0" borderId="0" xfId="10" applyFont="1" applyAlignment="1">
      <alignment horizontal="right"/>
    </xf>
    <xf numFmtId="164" fontId="75" fillId="0" borderId="0" xfId="11" applyNumberFormat="1" applyFont="1"/>
    <xf numFmtId="0" fontId="76" fillId="0" borderId="0" xfId="10" applyFont="1"/>
    <xf numFmtId="3" fontId="31" fillId="0" borderId="0" xfId="10" applyNumberFormat="1" applyFont="1"/>
    <xf numFmtId="0" fontId="77" fillId="0" borderId="0" xfId="10" applyFont="1"/>
    <xf numFmtId="164" fontId="35" fillId="0" borderId="0" xfId="1" applyNumberFormat="1" applyFont="1"/>
    <xf numFmtId="164" fontId="36" fillId="0" borderId="0" xfId="1" applyNumberFormat="1" applyFont="1"/>
    <xf numFmtId="0" fontId="9" fillId="0" borderId="0" xfId="4" applyFont="1"/>
    <xf numFmtId="0" fontId="2" fillId="0" borderId="0" xfId="3"/>
    <xf numFmtId="9" fontId="4" fillId="0" borderId="11" xfId="5" applyFont="1" applyBorder="1" applyAlignment="1">
      <alignment horizontal="left" wrapText="1"/>
    </xf>
    <xf numFmtId="9" fontId="4" fillId="0" borderId="12" xfId="5" applyFont="1" applyBorder="1" applyAlignment="1">
      <alignment horizontal="left" wrapText="1"/>
    </xf>
    <xf numFmtId="0" fontId="5" fillId="0" borderId="0" xfId="4" applyFont="1"/>
    <xf numFmtId="0" fontId="40" fillId="0" borderId="40" xfId="10" applyFont="1" applyBorder="1" applyAlignment="1">
      <alignment horizontal="center" vertical="center" wrapText="1"/>
    </xf>
    <xf numFmtId="0" fontId="40" fillId="0" borderId="15" xfId="10" applyFont="1" applyBorder="1" applyAlignment="1">
      <alignment horizontal="center" vertical="center" wrapText="1"/>
    </xf>
    <xf numFmtId="0" fontId="33" fillId="0" borderId="42" xfId="8" applyFont="1" applyBorder="1" applyAlignment="1">
      <alignment horizontal="left" vertical="center" wrapText="1"/>
    </xf>
    <xf numFmtId="0" fontId="33" fillId="0" borderId="49" xfId="8" applyFont="1" applyBorder="1" applyAlignment="1">
      <alignment horizontal="left" vertical="center" wrapText="1"/>
    </xf>
    <xf numFmtId="0" fontId="33" fillId="0" borderId="54" xfId="8" applyFont="1" applyBorder="1" applyAlignment="1">
      <alignment horizontal="center" vertical="center" wrapText="1"/>
    </xf>
    <xf numFmtId="0" fontId="33" fillId="0" borderId="49" xfId="8" applyFont="1" applyBorder="1" applyAlignment="1">
      <alignment horizontal="center" vertical="center" wrapText="1"/>
    </xf>
    <xf numFmtId="0" fontId="33" fillId="0" borderId="42" xfId="15" applyFont="1" applyBorder="1" applyAlignment="1">
      <alignment horizontal="center" vertical="center" wrapText="1"/>
    </xf>
    <xf numFmtId="0" fontId="33" fillId="0" borderId="49" xfId="15" applyFont="1" applyBorder="1" applyAlignment="1">
      <alignment horizontal="center" vertical="center" wrapText="1"/>
    </xf>
    <xf numFmtId="164" fontId="40" fillId="0" borderId="42" xfId="1" applyNumberFormat="1" applyFont="1" applyFill="1" applyBorder="1" applyAlignment="1">
      <alignment horizontal="center" vertical="center" wrapText="1"/>
    </xf>
    <xf numFmtId="164" fontId="40" fillId="0" borderId="49" xfId="1" applyNumberFormat="1" applyFont="1" applyFill="1" applyBorder="1" applyAlignment="1">
      <alignment horizontal="center" vertical="center" wrapText="1"/>
    </xf>
    <xf numFmtId="0" fontId="33" fillId="10" borderId="54" xfId="8" applyFont="1" applyFill="1" applyBorder="1" applyAlignment="1">
      <alignment horizontal="center" vertical="center" wrapText="1"/>
    </xf>
    <xf numFmtId="0" fontId="33" fillId="10" borderId="49" xfId="8" applyFont="1" applyFill="1" applyBorder="1" applyAlignment="1">
      <alignment horizontal="center" vertical="center" wrapText="1"/>
    </xf>
    <xf numFmtId="14" fontId="33" fillId="0" borderId="42" xfId="15" applyNumberFormat="1" applyFont="1" applyBorder="1" applyAlignment="1">
      <alignment horizontal="center" vertical="center" wrapText="1"/>
    </xf>
    <xf numFmtId="14" fontId="33" fillId="0" borderId="49" xfId="15" applyNumberFormat="1" applyFont="1" applyBorder="1" applyAlignment="1">
      <alignment horizontal="center" vertical="center" wrapText="1"/>
    </xf>
    <xf numFmtId="0" fontId="13" fillId="0" borderId="49" xfId="15" applyBorder="1" applyAlignment="1">
      <alignment horizontal="center" vertical="center" wrapText="1"/>
    </xf>
    <xf numFmtId="0" fontId="33" fillId="0" borderId="42" xfId="8" applyFont="1" applyBorder="1" applyAlignment="1">
      <alignment horizontal="center" vertical="center" wrapText="1"/>
    </xf>
    <xf numFmtId="164" fontId="40" fillId="0" borderId="42" xfId="1" applyNumberFormat="1" applyFont="1" applyBorder="1" applyAlignment="1">
      <alignment horizontal="center" vertical="center" wrapText="1"/>
    </xf>
    <xf numFmtId="164" fontId="40" fillId="0" borderId="49" xfId="1" applyNumberFormat="1" applyFont="1" applyBorder="1" applyAlignment="1">
      <alignment horizontal="center" vertical="center" wrapText="1"/>
    </xf>
    <xf numFmtId="0" fontId="33" fillId="0" borderId="59" xfId="8" applyFont="1" applyBorder="1" applyAlignment="1">
      <alignment horizontal="left" vertical="center" wrapText="1"/>
    </xf>
    <xf numFmtId="0" fontId="33" fillId="0" borderId="27" xfId="8" applyFont="1" applyBorder="1" applyAlignment="1">
      <alignment horizontal="left" vertical="center" wrapText="1"/>
    </xf>
    <xf numFmtId="0" fontId="33" fillId="0" borderId="45" xfId="8" applyFont="1" applyBorder="1" applyAlignment="1">
      <alignment horizontal="center" vertical="center" wrapText="1"/>
    </xf>
    <xf numFmtId="0" fontId="33" fillId="0" borderId="52" xfId="8" applyFont="1" applyBorder="1" applyAlignment="1">
      <alignment horizontal="center" vertical="center" wrapText="1"/>
    </xf>
    <xf numFmtId="0" fontId="33" fillId="10" borderId="45" xfId="8" applyFont="1" applyFill="1" applyBorder="1" applyAlignment="1">
      <alignment horizontal="center" vertical="center" wrapText="1"/>
    </xf>
    <xf numFmtId="0" fontId="33" fillId="10" borderId="52" xfId="8" applyFont="1" applyFill="1" applyBorder="1" applyAlignment="1">
      <alignment horizontal="center" vertical="center" wrapText="1"/>
    </xf>
    <xf numFmtId="0" fontId="33" fillId="0" borderId="42" xfId="15" applyFont="1" applyBorder="1" applyAlignment="1">
      <alignment horizontal="left" vertical="center" wrapText="1"/>
    </xf>
    <xf numFmtId="0" fontId="33" fillId="0" borderId="49" xfId="15" applyFont="1" applyBorder="1" applyAlignment="1">
      <alignment horizontal="left" vertical="center" wrapText="1"/>
    </xf>
    <xf numFmtId="14" fontId="33" fillId="0" borderId="29" xfId="15" applyNumberFormat="1" applyFont="1" applyBorder="1" applyAlignment="1">
      <alignment horizontal="center" vertical="center" wrapText="1"/>
    </xf>
    <xf numFmtId="0" fontId="4" fillId="0" borderId="17" xfId="15" applyFont="1" applyBorder="1" applyAlignment="1">
      <alignment horizontal="center" vertical="center" wrapText="1"/>
    </xf>
    <xf numFmtId="164" fontId="53" fillId="0" borderId="49" xfId="1" applyNumberFormat="1" applyFont="1" applyBorder="1" applyAlignment="1">
      <alignment horizontal="center" vertical="center" wrapText="1"/>
    </xf>
    <xf numFmtId="0" fontId="15" fillId="0" borderId="49" xfId="15" applyFont="1" applyBorder="1" applyAlignment="1">
      <alignment horizontal="left" vertical="center" wrapText="1"/>
    </xf>
    <xf numFmtId="0" fontId="33" fillId="0" borderId="54" xfId="15" applyFont="1" applyBorder="1" applyAlignment="1">
      <alignment horizontal="center" vertical="center" wrapText="1"/>
    </xf>
    <xf numFmtId="0" fontId="15" fillId="0" borderId="49" xfId="15" applyFont="1" applyBorder="1" applyAlignment="1">
      <alignment horizontal="center" vertical="center" wrapText="1"/>
    </xf>
    <xf numFmtId="0" fontId="33" fillId="0" borderId="17" xfId="15" applyFont="1" applyBorder="1" applyAlignment="1">
      <alignment horizontal="center" vertical="center" wrapText="1"/>
    </xf>
    <xf numFmtId="0" fontId="15" fillId="0" borderId="49" xfId="8" applyFont="1" applyBorder="1" applyAlignment="1">
      <alignment horizontal="left" vertical="center" wrapText="1"/>
    </xf>
    <xf numFmtId="0" fontId="15" fillId="0" borderId="49" xfId="8" applyFont="1" applyBorder="1" applyAlignment="1">
      <alignment horizontal="center" vertical="center" wrapText="1"/>
    </xf>
    <xf numFmtId="164" fontId="26" fillId="0" borderId="49" xfId="1" applyNumberFormat="1" applyFont="1" applyBorder="1" applyAlignment="1">
      <alignment horizontal="center" vertical="center" wrapText="1"/>
    </xf>
    <xf numFmtId="0" fontId="33" fillId="0" borderId="37" xfId="15" applyFont="1" applyBorder="1" applyAlignment="1">
      <alignment horizontal="center" vertical="center" wrapText="1"/>
    </xf>
    <xf numFmtId="14" fontId="33" fillId="0" borderId="5" xfId="15" applyNumberFormat="1" applyFont="1" applyBorder="1" applyAlignment="1">
      <alignment horizontal="center" vertical="center" wrapText="1"/>
    </xf>
    <xf numFmtId="0" fontId="33" fillId="0" borderId="54" xfId="15" applyFont="1" applyBorder="1" applyAlignment="1">
      <alignment horizontal="left" vertical="center" wrapText="1"/>
    </xf>
    <xf numFmtId="0" fontId="4" fillId="0" borderId="49" xfId="15" applyFont="1" applyBorder="1" applyAlignment="1">
      <alignment horizontal="left" vertical="center" wrapText="1"/>
    </xf>
    <xf numFmtId="0" fontId="13" fillId="0" borderId="49" xfId="15" applyBorder="1" applyAlignment="1">
      <alignment horizontal="left" vertical="center" wrapText="1"/>
    </xf>
    <xf numFmtId="14" fontId="33" fillId="0" borderId="37" xfId="15" applyNumberFormat="1" applyFont="1" applyBorder="1" applyAlignment="1">
      <alignment horizontal="center" vertical="center" wrapText="1"/>
    </xf>
  </cellXfs>
  <cellStyles count="17">
    <cellStyle name="Comma" xfId="1" builtinId="3"/>
    <cellStyle name="Comma 3 3" xfId="12" xr:uid="{94358FFD-A127-424E-8173-D5558350C141}"/>
    <cellStyle name="Comma 4 2" xfId="11" xr:uid="{2F4D1A09-E0F9-4962-A5C0-A73C539B5607}"/>
    <cellStyle name="Hyperlink" xfId="7" builtinId="8"/>
    <cellStyle name="Komats 10" xfId="6" xr:uid="{968A648A-E90F-49E3-B520-0D802ADA8524}"/>
    <cellStyle name="Normal" xfId="0" builtinId="0"/>
    <cellStyle name="Normal 2 2" xfId="8" xr:uid="{16DA1C3F-0FAC-4157-BAAC-EB81A58A124D}"/>
    <cellStyle name="Normal 2 2 2 2" xfId="16" xr:uid="{0BF29E61-6433-4D0D-9BDB-A383D410B7E3}"/>
    <cellStyle name="Normal 4" xfId="10" xr:uid="{B57E32B9-7BF5-45B1-B75F-248AAC01308E}"/>
    <cellStyle name="Parasts 2" xfId="15" xr:uid="{B051A86A-9125-4B87-BD10-0D938673219D}"/>
    <cellStyle name="Parasts 2 2 2 2" xfId="13" xr:uid="{0E0894B1-8A5B-4569-9077-BD6ABF13821A}"/>
    <cellStyle name="Parasts 2 2 5" xfId="3" xr:uid="{5535FCA7-B9B9-4B08-ABD4-C215E10D6E75}"/>
    <cellStyle name="Parasts 2 2 5 2" xfId="4" xr:uid="{D68FD096-41A4-4C03-92C2-2B7324F62809}"/>
    <cellStyle name="Percent" xfId="2" builtinId="5"/>
    <cellStyle name="Percent 3 2" xfId="14" xr:uid="{40602311-1C93-427F-A9C2-62AEC52AF8F5}"/>
    <cellStyle name="Percent 4" xfId="9" xr:uid="{C30AE67C-70EC-4192-A12F-0D44C72B4986}"/>
    <cellStyle name="Procenti 2 3" xfId="5" xr:uid="{5FC745B8-EFA1-4C5F-AC43-2E23629D03A9}"/>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sarmite\Desktop\2010\2014\22.12.2014\Budzeta_projekts%202014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ARNIS\formas\dok_registrs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RNIS\formas\dok_registrs2011.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armite.Muze\Nextcloud\Finansu%20nodala%20kopmape\06_2023\1_Budzets_2023_actual_06_2023.xlsx" TargetMode="External"/><Relationship Id="rId1" Type="http://schemas.openxmlformats.org/officeDocument/2006/relationships/externalLinkPath" Target="/Users/Sarmite.Muze/Nextcloud/Finansu%20nodala%20kopmape/06_2023/1_Budzets_2023_actual_06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row r="36">
          <cell r="C36">
            <v>5078304.9348664423</v>
          </cell>
        </row>
      </sheetData>
      <sheetData sheetId="8">
        <row r="14">
          <cell r="Q14">
            <v>430025</v>
          </cell>
        </row>
      </sheetData>
      <sheetData sheetId="9"/>
      <sheetData sheetId="10">
        <row r="2130">
          <cell r="I2130">
            <v>90500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v>0</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v>0</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v>0</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zvērināta advokāte 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ibai"/>
      <sheetName val="Jautajumi"/>
      <sheetName val="Budžeta faila apraksts"/>
      <sheetName val="check"/>
      <sheetName val="Grafiki_2023"/>
      <sheetName val="Skaidrojumi"/>
      <sheetName val="Kopsavilkums"/>
      <sheetName val="PIVOT_2023"/>
      <sheetName val="Investīcijas_2023"/>
      <sheetName val="Pivot_invest_2023"/>
      <sheetName val="PFIF prognoze"/>
      <sheetName val="2022-2027"/>
      <sheetName val="2023.gada budzeta plans_apvieno"/>
      <sheetName val="Grafiki"/>
      <sheetName val="INPUT"/>
      <sheetName val="Filtri"/>
      <sheetName val="31122022_final"/>
      <sheetName val="Pivot_Saraksts"/>
      <sheetName val="0841"/>
      <sheetName val="0841.1_Gaujas svetki"/>
      <sheetName val="0841.4_Dziesmu svētki"/>
      <sheetName val="0812_Sport"/>
      <sheetName val="0812 _Trenažieri"/>
      <sheetName val="0630_dekori"/>
      <sheetName val="Priekšlikumi ārtelpas projekt"/>
      <sheetName val="EKK"/>
      <sheetName val="Ieņēmumi"/>
      <sheetName val="KA_31122022"/>
      <sheetName val="Algas_2023"/>
      <sheetName val="4.piel_Saistibas"/>
      <sheetName val="Saistibas_VK_prognoze"/>
      <sheetName val="5.piel.EKK"/>
      <sheetName val="Deputāti"/>
      <sheetName val="Velesanu_komis_loc"/>
      <sheetName val="Adm_komisija"/>
      <sheetName val="Iepirk_komisija"/>
      <sheetName val="Komisijas"/>
      <sheetName val="1_Budzets_2023_actual_06_2023"/>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4">
          <cell r="L44">
            <v>9528140.4900000002</v>
          </cell>
        </row>
        <row r="108">
          <cell r="L108">
            <v>46153371.490000002</v>
          </cell>
        </row>
        <row r="140">
          <cell r="L140">
            <v>4392666</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91881-2599-452A-8E54-43FB5B3A6353}">
  <sheetPr>
    <tabColor rgb="FF92D050"/>
    <pageSetUpPr fitToPage="1"/>
  </sheetPr>
  <dimension ref="A1:N278"/>
  <sheetViews>
    <sheetView tabSelected="1" zoomScaleNormal="100" zoomScaleSheetLayoutView="80" workbookViewId="0">
      <pane xSplit="4" ySplit="5" topLeftCell="E6" activePane="bottomRight" state="frozen"/>
      <selection activeCell="C1" sqref="C1"/>
      <selection pane="topRight" activeCell="E1" sqref="E1"/>
      <selection pane="bottomLeft" activeCell="C6" sqref="C6"/>
      <selection pane="bottomRight" activeCell="O1" sqref="O1:AE1048576"/>
    </sheetView>
  </sheetViews>
  <sheetFormatPr defaultRowHeight="15" outlineLevelRow="1" outlineLevelCol="2" x14ac:dyDescent="0.25"/>
  <cols>
    <col min="1" max="1" width="7.85546875" style="1" hidden="1" customWidth="1" outlineLevel="2"/>
    <col min="2" max="2" width="11.42578125" style="1" hidden="1" customWidth="1" outlineLevel="2"/>
    <col min="3" max="3" width="15" style="118" customWidth="1" collapsed="1"/>
    <col min="4" max="4" width="48.5703125" style="3" customWidth="1"/>
    <col min="5" max="5" width="14.85546875" style="7" customWidth="1"/>
    <col min="6" max="6" width="14.85546875" style="7" customWidth="1" collapsed="1"/>
    <col min="7" max="7" width="14.85546875" style="1" hidden="1" customWidth="1" outlineLevel="1"/>
    <col min="8" max="8" width="54" style="11" hidden="1" customWidth="1" outlineLevel="1" collapsed="1"/>
    <col min="9" max="9" width="14.85546875" style="1" customWidth="1" collapsed="1"/>
    <col min="10" max="10" width="14.85546875" style="1" hidden="1" customWidth="1" outlineLevel="1"/>
    <col min="11" max="11" width="56.42578125" style="11" hidden="1" customWidth="1" outlineLevel="1" collapsed="1"/>
    <col min="12" max="12" width="14.85546875" style="1" customWidth="1" collapsed="1"/>
    <col min="13" max="13" width="14.85546875" style="1" customWidth="1"/>
    <col min="14" max="14" width="56.42578125" style="11" customWidth="1" collapsed="1"/>
    <col min="15" max="174" width="9" style="1"/>
    <col min="175" max="176" width="0" style="1" hidden="1" customWidth="1"/>
    <col min="177" max="177" width="13.7109375" style="1" customWidth="1"/>
    <col min="178" max="178" width="52.85546875" style="1" customWidth="1"/>
    <col min="179" max="218" width="0" style="1" hidden="1" customWidth="1"/>
    <col min="219" max="220" width="14.85546875" style="1" customWidth="1"/>
    <col min="221" max="222" width="0" style="1" hidden="1" customWidth="1"/>
    <col min="223" max="223" width="14.85546875" style="1" customWidth="1"/>
    <col min="224" max="225" width="0" style="1" hidden="1" customWidth="1"/>
    <col min="226" max="226" width="14.85546875" style="1" customWidth="1"/>
    <col min="227" max="228" width="0" style="1" hidden="1" customWidth="1"/>
    <col min="229" max="229" width="14.85546875" style="1" customWidth="1"/>
    <col min="230" max="231" width="0" style="1" hidden="1" customWidth="1"/>
    <col min="232" max="232" width="14.85546875" style="1" customWidth="1"/>
    <col min="233" max="234" width="0" style="1" hidden="1" customWidth="1"/>
    <col min="235" max="236" width="14.85546875" style="1" customWidth="1"/>
    <col min="237" max="237" width="44.42578125" style="1" customWidth="1"/>
    <col min="238" max="242" width="14.85546875" style="1" customWidth="1"/>
    <col min="243" max="243" width="63.85546875" style="1" customWidth="1"/>
    <col min="244" max="244" width="13.28515625" style="1" customWidth="1"/>
    <col min="245" max="430" width="9" style="1"/>
    <col min="431" max="432" width="0" style="1" hidden="1" customWidth="1"/>
    <col min="433" max="433" width="13.7109375" style="1" customWidth="1"/>
    <col min="434" max="434" width="52.85546875" style="1" customWidth="1"/>
    <col min="435" max="474" width="0" style="1" hidden="1" customWidth="1"/>
    <col min="475" max="476" width="14.85546875" style="1" customWidth="1"/>
    <col min="477" max="478" width="0" style="1" hidden="1" customWidth="1"/>
    <col min="479" max="479" width="14.85546875" style="1" customWidth="1"/>
    <col min="480" max="481" width="0" style="1" hidden="1" customWidth="1"/>
    <col min="482" max="482" width="14.85546875" style="1" customWidth="1"/>
    <col min="483" max="484" width="0" style="1" hidden="1" customWidth="1"/>
    <col min="485" max="485" width="14.85546875" style="1" customWidth="1"/>
    <col min="486" max="487" width="0" style="1" hidden="1" customWidth="1"/>
    <col min="488" max="488" width="14.85546875" style="1" customWidth="1"/>
    <col min="489" max="490" width="0" style="1" hidden="1" customWidth="1"/>
    <col min="491" max="492" width="14.85546875" style="1" customWidth="1"/>
    <col min="493" max="493" width="44.42578125" style="1" customWidth="1"/>
    <col min="494" max="498" width="14.85546875" style="1" customWidth="1"/>
    <col min="499" max="499" width="63.85546875" style="1" customWidth="1"/>
    <col min="500" max="500" width="13.28515625" style="1" customWidth="1"/>
    <col min="501" max="686" width="9" style="1"/>
    <col min="687" max="688" width="0" style="1" hidden="1" customWidth="1"/>
    <col min="689" max="689" width="13.7109375" style="1" customWidth="1"/>
    <col min="690" max="690" width="52.85546875" style="1" customWidth="1"/>
    <col min="691" max="730" width="0" style="1" hidden="1" customWidth="1"/>
    <col min="731" max="732" width="14.85546875" style="1" customWidth="1"/>
    <col min="733" max="734" width="0" style="1" hidden="1" customWidth="1"/>
    <col min="735" max="735" width="14.85546875" style="1" customWidth="1"/>
    <col min="736" max="737" width="0" style="1" hidden="1" customWidth="1"/>
    <col min="738" max="738" width="14.85546875" style="1" customWidth="1"/>
    <col min="739" max="740" width="0" style="1" hidden="1" customWidth="1"/>
    <col min="741" max="741" width="14.85546875" style="1" customWidth="1"/>
    <col min="742" max="743" width="0" style="1" hidden="1" customWidth="1"/>
    <col min="744" max="744" width="14.85546875" style="1" customWidth="1"/>
    <col min="745" max="746" width="0" style="1" hidden="1" customWidth="1"/>
    <col min="747" max="748" width="14.85546875" style="1" customWidth="1"/>
    <col min="749" max="749" width="44.42578125" style="1" customWidth="1"/>
    <col min="750" max="754" width="14.85546875" style="1" customWidth="1"/>
    <col min="755" max="755" width="63.85546875" style="1" customWidth="1"/>
    <col min="756" max="756" width="13.28515625" style="1" customWidth="1"/>
    <col min="757" max="942" width="9" style="1"/>
    <col min="943" max="944" width="0" style="1" hidden="1" customWidth="1"/>
    <col min="945" max="945" width="13.7109375" style="1" customWidth="1"/>
    <col min="946" max="946" width="52.85546875" style="1" customWidth="1"/>
    <col min="947" max="986" width="0" style="1" hidden="1" customWidth="1"/>
    <col min="987" max="988" width="14.85546875" style="1" customWidth="1"/>
    <col min="989" max="990" width="0" style="1" hidden="1" customWidth="1"/>
    <col min="991" max="991" width="14.85546875" style="1" customWidth="1"/>
    <col min="992" max="993" width="0" style="1" hidden="1" customWidth="1"/>
    <col min="994" max="994" width="14.85546875" style="1" customWidth="1"/>
    <col min="995" max="996" width="0" style="1" hidden="1" customWidth="1"/>
    <col min="997" max="997" width="14.85546875" style="1" customWidth="1"/>
    <col min="998" max="999" width="0" style="1" hidden="1" customWidth="1"/>
    <col min="1000" max="1000" width="14.85546875" style="1" customWidth="1"/>
    <col min="1001" max="1002" width="0" style="1" hidden="1" customWidth="1"/>
    <col min="1003" max="1004" width="14.85546875" style="1" customWidth="1"/>
    <col min="1005" max="1005" width="44.42578125" style="1" customWidth="1"/>
    <col min="1006" max="1010" width="14.85546875" style="1" customWidth="1"/>
    <col min="1011" max="1011" width="63.85546875" style="1" customWidth="1"/>
    <col min="1012" max="1012" width="13.28515625" style="1" customWidth="1"/>
    <col min="1013" max="1198" width="9" style="1"/>
    <col min="1199" max="1200" width="0" style="1" hidden="1" customWidth="1"/>
    <col min="1201" max="1201" width="13.7109375" style="1" customWidth="1"/>
    <col min="1202" max="1202" width="52.85546875" style="1" customWidth="1"/>
    <col min="1203" max="1242" width="0" style="1" hidden="1" customWidth="1"/>
    <col min="1243" max="1244" width="14.85546875" style="1" customWidth="1"/>
    <col min="1245" max="1246" width="0" style="1" hidden="1" customWidth="1"/>
    <col min="1247" max="1247" width="14.85546875" style="1" customWidth="1"/>
    <col min="1248" max="1249" width="0" style="1" hidden="1" customWidth="1"/>
    <col min="1250" max="1250" width="14.85546875" style="1" customWidth="1"/>
    <col min="1251" max="1252" width="0" style="1" hidden="1" customWidth="1"/>
    <col min="1253" max="1253" width="14.85546875" style="1" customWidth="1"/>
    <col min="1254" max="1255" width="0" style="1" hidden="1" customWidth="1"/>
    <col min="1256" max="1256" width="14.85546875" style="1" customWidth="1"/>
    <col min="1257" max="1258" width="0" style="1" hidden="1" customWidth="1"/>
    <col min="1259" max="1260" width="14.85546875" style="1" customWidth="1"/>
    <col min="1261" max="1261" width="44.42578125" style="1" customWidth="1"/>
    <col min="1262" max="1266" width="14.85546875" style="1" customWidth="1"/>
    <col min="1267" max="1267" width="63.85546875" style="1" customWidth="1"/>
    <col min="1268" max="1268" width="13.28515625" style="1" customWidth="1"/>
    <col min="1269" max="1454" width="9" style="1"/>
    <col min="1455" max="1456" width="0" style="1" hidden="1" customWidth="1"/>
    <col min="1457" max="1457" width="13.7109375" style="1" customWidth="1"/>
    <col min="1458" max="1458" width="52.85546875" style="1" customWidth="1"/>
    <col min="1459" max="1498" width="0" style="1" hidden="1" customWidth="1"/>
    <col min="1499" max="1500" width="14.85546875" style="1" customWidth="1"/>
    <col min="1501" max="1502" width="0" style="1" hidden="1" customWidth="1"/>
    <col min="1503" max="1503" width="14.85546875" style="1" customWidth="1"/>
    <col min="1504" max="1505" width="0" style="1" hidden="1" customWidth="1"/>
    <col min="1506" max="1506" width="14.85546875" style="1" customWidth="1"/>
    <col min="1507" max="1508" width="0" style="1" hidden="1" customWidth="1"/>
    <col min="1509" max="1509" width="14.85546875" style="1" customWidth="1"/>
    <col min="1510" max="1511" width="0" style="1" hidden="1" customWidth="1"/>
    <col min="1512" max="1512" width="14.85546875" style="1" customWidth="1"/>
    <col min="1513" max="1514" width="0" style="1" hidden="1" customWidth="1"/>
    <col min="1515" max="1516" width="14.85546875" style="1" customWidth="1"/>
    <col min="1517" max="1517" width="44.42578125" style="1" customWidth="1"/>
    <col min="1518" max="1522" width="14.85546875" style="1" customWidth="1"/>
    <col min="1523" max="1523" width="63.85546875" style="1" customWidth="1"/>
    <col min="1524" max="1524" width="13.28515625" style="1" customWidth="1"/>
    <col min="1525" max="1710" width="9" style="1"/>
    <col min="1711" max="1712" width="0" style="1" hidden="1" customWidth="1"/>
    <col min="1713" max="1713" width="13.7109375" style="1" customWidth="1"/>
    <col min="1714" max="1714" width="52.85546875" style="1" customWidth="1"/>
    <col min="1715" max="1754" width="0" style="1" hidden="1" customWidth="1"/>
    <col min="1755" max="1756" width="14.85546875" style="1" customWidth="1"/>
    <col min="1757" max="1758" width="0" style="1" hidden="1" customWidth="1"/>
    <col min="1759" max="1759" width="14.85546875" style="1" customWidth="1"/>
    <col min="1760" max="1761" width="0" style="1" hidden="1" customWidth="1"/>
    <col min="1762" max="1762" width="14.85546875" style="1" customWidth="1"/>
    <col min="1763" max="1764" width="0" style="1" hidden="1" customWidth="1"/>
    <col min="1765" max="1765" width="14.85546875" style="1" customWidth="1"/>
    <col min="1766" max="1767" width="0" style="1" hidden="1" customWidth="1"/>
    <col min="1768" max="1768" width="14.85546875" style="1" customWidth="1"/>
    <col min="1769" max="1770" width="0" style="1" hidden="1" customWidth="1"/>
    <col min="1771" max="1772" width="14.85546875" style="1" customWidth="1"/>
    <col min="1773" max="1773" width="44.42578125" style="1" customWidth="1"/>
    <col min="1774" max="1778" width="14.85546875" style="1" customWidth="1"/>
    <col min="1779" max="1779" width="63.85546875" style="1" customWidth="1"/>
    <col min="1780" max="1780" width="13.28515625" style="1" customWidth="1"/>
    <col min="1781" max="1966" width="9" style="1"/>
    <col min="1967" max="1968" width="0" style="1" hidden="1" customWidth="1"/>
    <col min="1969" max="1969" width="13.7109375" style="1" customWidth="1"/>
    <col min="1970" max="1970" width="52.85546875" style="1" customWidth="1"/>
    <col min="1971" max="2010" width="0" style="1" hidden="1" customWidth="1"/>
    <col min="2011" max="2012" width="14.85546875" style="1" customWidth="1"/>
    <col min="2013" max="2014" width="0" style="1" hidden="1" customWidth="1"/>
    <col min="2015" max="2015" width="14.85546875" style="1" customWidth="1"/>
    <col min="2016" max="2017" width="0" style="1" hidden="1" customWidth="1"/>
    <col min="2018" max="2018" width="14.85546875" style="1" customWidth="1"/>
    <col min="2019" max="2020" width="0" style="1" hidden="1" customWidth="1"/>
    <col min="2021" max="2021" width="14.85546875" style="1" customWidth="1"/>
    <col min="2022" max="2023" width="0" style="1" hidden="1" customWidth="1"/>
    <col min="2024" max="2024" width="14.85546875" style="1" customWidth="1"/>
    <col min="2025" max="2026" width="0" style="1" hidden="1" customWidth="1"/>
    <col min="2027" max="2028" width="14.85546875" style="1" customWidth="1"/>
    <col min="2029" max="2029" width="44.42578125" style="1" customWidth="1"/>
    <col min="2030" max="2034" width="14.85546875" style="1" customWidth="1"/>
    <col min="2035" max="2035" width="63.85546875" style="1" customWidth="1"/>
    <col min="2036" max="2036" width="13.28515625" style="1" customWidth="1"/>
    <col min="2037" max="2222" width="9" style="1"/>
    <col min="2223" max="2224" width="0" style="1" hidden="1" customWidth="1"/>
    <col min="2225" max="2225" width="13.7109375" style="1" customWidth="1"/>
    <col min="2226" max="2226" width="52.85546875" style="1" customWidth="1"/>
    <col min="2227" max="2266" width="0" style="1" hidden="1" customWidth="1"/>
    <col min="2267" max="2268" width="14.85546875" style="1" customWidth="1"/>
    <col min="2269" max="2270" width="0" style="1" hidden="1" customWidth="1"/>
    <col min="2271" max="2271" width="14.85546875" style="1" customWidth="1"/>
    <col min="2272" max="2273" width="0" style="1" hidden="1" customWidth="1"/>
    <col min="2274" max="2274" width="14.85546875" style="1" customWidth="1"/>
    <col min="2275" max="2276" width="0" style="1" hidden="1" customWidth="1"/>
    <col min="2277" max="2277" width="14.85546875" style="1" customWidth="1"/>
    <col min="2278" max="2279" width="0" style="1" hidden="1" customWidth="1"/>
    <col min="2280" max="2280" width="14.85546875" style="1" customWidth="1"/>
    <col min="2281" max="2282" width="0" style="1" hidden="1" customWidth="1"/>
    <col min="2283" max="2284" width="14.85546875" style="1" customWidth="1"/>
    <col min="2285" max="2285" width="44.42578125" style="1" customWidth="1"/>
    <col min="2286" max="2290" width="14.85546875" style="1" customWidth="1"/>
    <col min="2291" max="2291" width="63.85546875" style="1" customWidth="1"/>
    <col min="2292" max="2292" width="13.28515625" style="1" customWidth="1"/>
    <col min="2293" max="2478" width="9" style="1"/>
    <col min="2479" max="2480" width="0" style="1" hidden="1" customWidth="1"/>
    <col min="2481" max="2481" width="13.7109375" style="1" customWidth="1"/>
    <col min="2482" max="2482" width="52.85546875" style="1" customWidth="1"/>
    <col min="2483" max="2522" width="0" style="1" hidden="1" customWidth="1"/>
    <col min="2523" max="2524" width="14.85546875" style="1" customWidth="1"/>
    <col min="2525" max="2526" width="0" style="1" hidden="1" customWidth="1"/>
    <col min="2527" max="2527" width="14.85546875" style="1" customWidth="1"/>
    <col min="2528" max="2529" width="0" style="1" hidden="1" customWidth="1"/>
    <col min="2530" max="2530" width="14.85546875" style="1" customWidth="1"/>
    <col min="2531" max="2532" width="0" style="1" hidden="1" customWidth="1"/>
    <col min="2533" max="2533" width="14.85546875" style="1" customWidth="1"/>
    <col min="2534" max="2535" width="0" style="1" hidden="1" customWidth="1"/>
    <col min="2536" max="2536" width="14.85546875" style="1" customWidth="1"/>
    <col min="2537" max="2538" width="0" style="1" hidden="1" customWidth="1"/>
    <col min="2539" max="2540" width="14.85546875" style="1" customWidth="1"/>
    <col min="2541" max="2541" width="44.42578125" style="1" customWidth="1"/>
    <col min="2542" max="2546" width="14.85546875" style="1" customWidth="1"/>
    <col min="2547" max="2547" width="63.85546875" style="1" customWidth="1"/>
    <col min="2548" max="2548" width="13.28515625" style="1" customWidth="1"/>
    <col min="2549" max="2734" width="9" style="1"/>
    <col min="2735" max="2736" width="0" style="1" hidden="1" customWidth="1"/>
    <col min="2737" max="2737" width="13.7109375" style="1" customWidth="1"/>
    <col min="2738" max="2738" width="52.85546875" style="1" customWidth="1"/>
    <col min="2739" max="2778" width="0" style="1" hidden="1" customWidth="1"/>
    <col min="2779" max="2780" width="14.85546875" style="1" customWidth="1"/>
    <col min="2781" max="2782" width="0" style="1" hidden="1" customWidth="1"/>
    <col min="2783" max="2783" width="14.85546875" style="1" customWidth="1"/>
    <col min="2784" max="2785" width="0" style="1" hidden="1" customWidth="1"/>
    <col min="2786" max="2786" width="14.85546875" style="1" customWidth="1"/>
    <col min="2787" max="2788" width="0" style="1" hidden="1" customWidth="1"/>
    <col min="2789" max="2789" width="14.85546875" style="1" customWidth="1"/>
    <col min="2790" max="2791" width="0" style="1" hidden="1" customWidth="1"/>
    <col min="2792" max="2792" width="14.85546875" style="1" customWidth="1"/>
    <col min="2793" max="2794" width="0" style="1" hidden="1" customWidth="1"/>
    <col min="2795" max="2796" width="14.85546875" style="1" customWidth="1"/>
    <col min="2797" max="2797" width="44.42578125" style="1" customWidth="1"/>
    <col min="2798" max="2802" width="14.85546875" style="1" customWidth="1"/>
    <col min="2803" max="2803" width="63.85546875" style="1" customWidth="1"/>
    <col min="2804" max="2804" width="13.28515625" style="1" customWidth="1"/>
    <col min="2805" max="2990" width="9" style="1"/>
    <col min="2991" max="2992" width="0" style="1" hidden="1" customWidth="1"/>
    <col min="2993" max="2993" width="13.7109375" style="1" customWidth="1"/>
    <col min="2994" max="2994" width="52.85546875" style="1" customWidth="1"/>
    <col min="2995" max="3034" width="0" style="1" hidden="1" customWidth="1"/>
    <col min="3035" max="3036" width="14.85546875" style="1" customWidth="1"/>
    <col min="3037" max="3038" width="0" style="1" hidden="1" customWidth="1"/>
    <col min="3039" max="3039" width="14.85546875" style="1" customWidth="1"/>
    <col min="3040" max="3041" width="0" style="1" hidden="1" customWidth="1"/>
    <col min="3042" max="3042" width="14.85546875" style="1" customWidth="1"/>
    <col min="3043" max="3044" width="0" style="1" hidden="1" customWidth="1"/>
    <col min="3045" max="3045" width="14.85546875" style="1" customWidth="1"/>
    <col min="3046" max="3047" width="0" style="1" hidden="1" customWidth="1"/>
    <col min="3048" max="3048" width="14.85546875" style="1" customWidth="1"/>
    <col min="3049" max="3050" width="0" style="1" hidden="1" customWidth="1"/>
    <col min="3051" max="3052" width="14.85546875" style="1" customWidth="1"/>
    <col min="3053" max="3053" width="44.42578125" style="1" customWidth="1"/>
    <col min="3054" max="3058" width="14.85546875" style="1" customWidth="1"/>
    <col min="3059" max="3059" width="63.85546875" style="1" customWidth="1"/>
    <col min="3060" max="3060" width="13.28515625" style="1" customWidth="1"/>
    <col min="3061" max="3246" width="9" style="1"/>
    <col min="3247" max="3248" width="0" style="1" hidden="1" customWidth="1"/>
    <col min="3249" max="3249" width="13.7109375" style="1" customWidth="1"/>
    <col min="3250" max="3250" width="52.85546875" style="1" customWidth="1"/>
    <col min="3251" max="3290" width="0" style="1" hidden="1" customWidth="1"/>
    <col min="3291" max="3292" width="14.85546875" style="1" customWidth="1"/>
    <col min="3293" max="3294" width="0" style="1" hidden="1" customWidth="1"/>
    <col min="3295" max="3295" width="14.85546875" style="1" customWidth="1"/>
    <col min="3296" max="3297" width="0" style="1" hidden="1" customWidth="1"/>
    <col min="3298" max="3298" width="14.85546875" style="1" customWidth="1"/>
    <col min="3299" max="3300" width="0" style="1" hidden="1" customWidth="1"/>
    <col min="3301" max="3301" width="14.85546875" style="1" customWidth="1"/>
    <col min="3302" max="3303" width="0" style="1" hidden="1" customWidth="1"/>
    <col min="3304" max="3304" width="14.85546875" style="1" customWidth="1"/>
    <col min="3305" max="3306" width="0" style="1" hidden="1" customWidth="1"/>
    <col min="3307" max="3308" width="14.85546875" style="1" customWidth="1"/>
    <col min="3309" max="3309" width="44.42578125" style="1" customWidth="1"/>
    <col min="3310" max="3314" width="14.85546875" style="1" customWidth="1"/>
    <col min="3315" max="3315" width="63.85546875" style="1" customWidth="1"/>
    <col min="3316" max="3316" width="13.28515625" style="1" customWidth="1"/>
    <col min="3317" max="3502" width="9" style="1"/>
    <col min="3503" max="3504" width="0" style="1" hidden="1" customWidth="1"/>
    <col min="3505" max="3505" width="13.7109375" style="1" customWidth="1"/>
    <col min="3506" max="3506" width="52.85546875" style="1" customWidth="1"/>
    <col min="3507" max="3546" width="0" style="1" hidden="1" customWidth="1"/>
    <col min="3547" max="3548" width="14.85546875" style="1" customWidth="1"/>
    <col min="3549" max="3550" width="0" style="1" hidden="1" customWidth="1"/>
    <col min="3551" max="3551" width="14.85546875" style="1" customWidth="1"/>
    <col min="3552" max="3553" width="0" style="1" hidden="1" customWidth="1"/>
    <col min="3554" max="3554" width="14.85546875" style="1" customWidth="1"/>
    <col min="3555" max="3556" width="0" style="1" hidden="1" customWidth="1"/>
    <col min="3557" max="3557" width="14.85546875" style="1" customWidth="1"/>
    <col min="3558" max="3559" width="0" style="1" hidden="1" customWidth="1"/>
    <col min="3560" max="3560" width="14.85546875" style="1" customWidth="1"/>
    <col min="3561" max="3562" width="0" style="1" hidden="1" customWidth="1"/>
    <col min="3563" max="3564" width="14.85546875" style="1" customWidth="1"/>
    <col min="3565" max="3565" width="44.42578125" style="1" customWidth="1"/>
    <col min="3566" max="3570" width="14.85546875" style="1" customWidth="1"/>
    <col min="3571" max="3571" width="63.85546875" style="1" customWidth="1"/>
    <col min="3572" max="3572" width="13.28515625" style="1" customWidth="1"/>
    <col min="3573" max="3758" width="9" style="1"/>
    <col min="3759" max="3760" width="0" style="1" hidden="1" customWidth="1"/>
    <col min="3761" max="3761" width="13.7109375" style="1" customWidth="1"/>
    <col min="3762" max="3762" width="52.85546875" style="1" customWidth="1"/>
    <col min="3763" max="3802" width="0" style="1" hidden="1" customWidth="1"/>
    <col min="3803" max="3804" width="14.85546875" style="1" customWidth="1"/>
    <col min="3805" max="3806" width="0" style="1" hidden="1" customWidth="1"/>
    <col min="3807" max="3807" width="14.85546875" style="1" customWidth="1"/>
    <col min="3808" max="3809" width="0" style="1" hidden="1" customWidth="1"/>
    <col min="3810" max="3810" width="14.85546875" style="1" customWidth="1"/>
    <col min="3811" max="3812" width="0" style="1" hidden="1" customWidth="1"/>
    <col min="3813" max="3813" width="14.85546875" style="1" customWidth="1"/>
    <col min="3814" max="3815" width="0" style="1" hidden="1" customWidth="1"/>
    <col min="3816" max="3816" width="14.85546875" style="1" customWidth="1"/>
    <col min="3817" max="3818" width="0" style="1" hidden="1" customWidth="1"/>
    <col min="3819" max="3820" width="14.85546875" style="1" customWidth="1"/>
    <col min="3821" max="3821" width="44.42578125" style="1" customWidth="1"/>
    <col min="3822" max="3826" width="14.85546875" style="1" customWidth="1"/>
    <col min="3827" max="3827" width="63.85546875" style="1" customWidth="1"/>
    <col min="3828" max="3828" width="13.28515625" style="1" customWidth="1"/>
    <col min="3829" max="4014" width="9" style="1"/>
    <col min="4015" max="4016" width="0" style="1" hidden="1" customWidth="1"/>
    <col min="4017" max="4017" width="13.7109375" style="1" customWidth="1"/>
    <col min="4018" max="4018" width="52.85546875" style="1" customWidth="1"/>
    <col min="4019" max="4058" width="0" style="1" hidden="1" customWidth="1"/>
    <col min="4059" max="4060" width="14.85546875" style="1" customWidth="1"/>
    <col min="4061" max="4062" width="0" style="1" hidden="1" customWidth="1"/>
    <col min="4063" max="4063" width="14.85546875" style="1" customWidth="1"/>
    <col min="4064" max="4065" width="0" style="1" hidden="1" customWidth="1"/>
    <col min="4066" max="4066" width="14.85546875" style="1" customWidth="1"/>
    <col min="4067" max="4068" width="0" style="1" hidden="1" customWidth="1"/>
    <col min="4069" max="4069" width="14.85546875" style="1" customWidth="1"/>
    <col min="4070" max="4071" width="0" style="1" hidden="1" customWidth="1"/>
    <col min="4072" max="4072" width="14.85546875" style="1" customWidth="1"/>
    <col min="4073" max="4074" width="0" style="1" hidden="1" customWidth="1"/>
    <col min="4075" max="4076" width="14.85546875" style="1" customWidth="1"/>
    <col min="4077" max="4077" width="44.42578125" style="1" customWidth="1"/>
    <col min="4078" max="4082" width="14.85546875" style="1" customWidth="1"/>
    <col min="4083" max="4083" width="63.85546875" style="1" customWidth="1"/>
    <col min="4084" max="4084" width="13.28515625" style="1" customWidth="1"/>
    <col min="4085" max="4270" width="9" style="1"/>
    <col min="4271" max="4272" width="0" style="1" hidden="1" customWidth="1"/>
    <col min="4273" max="4273" width="13.7109375" style="1" customWidth="1"/>
    <col min="4274" max="4274" width="52.85546875" style="1" customWidth="1"/>
    <col min="4275" max="4314" width="0" style="1" hidden="1" customWidth="1"/>
    <col min="4315" max="4316" width="14.85546875" style="1" customWidth="1"/>
    <col min="4317" max="4318" width="0" style="1" hidden="1" customWidth="1"/>
    <col min="4319" max="4319" width="14.85546875" style="1" customWidth="1"/>
    <col min="4320" max="4321" width="0" style="1" hidden="1" customWidth="1"/>
    <col min="4322" max="4322" width="14.85546875" style="1" customWidth="1"/>
    <col min="4323" max="4324" width="0" style="1" hidden="1" customWidth="1"/>
    <col min="4325" max="4325" width="14.85546875" style="1" customWidth="1"/>
    <col min="4326" max="4327" width="0" style="1" hidden="1" customWidth="1"/>
    <col min="4328" max="4328" width="14.85546875" style="1" customWidth="1"/>
    <col min="4329" max="4330" width="0" style="1" hidden="1" customWidth="1"/>
    <col min="4331" max="4332" width="14.85546875" style="1" customWidth="1"/>
    <col min="4333" max="4333" width="44.42578125" style="1" customWidth="1"/>
    <col min="4334" max="4338" width="14.85546875" style="1" customWidth="1"/>
    <col min="4339" max="4339" width="63.85546875" style="1" customWidth="1"/>
    <col min="4340" max="4340" width="13.28515625" style="1" customWidth="1"/>
    <col min="4341" max="4526" width="9" style="1"/>
    <col min="4527" max="4528" width="0" style="1" hidden="1" customWidth="1"/>
    <col min="4529" max="4529" width="13.7109375" style="1" customWidth="1"/>
    <col min="4530" max="4530" width="52.85546875" style="1" customWidth="1"/>
    <col min="4531" max="4570" width="0" style="1" hidden="1" customWidth="1"/>
    <col min="4571" max="4572" width="14.85546875" style="1" customWidth="1"/>
    <col min="4573" max="4574" width="0" style="1" hidden="1" customWidth="1"/>
    <col min="4575" max="4575" width="14.85546875" style="1" customWidth="1"/>
    <col min="4576" max="4577" width="0" style="1" hidden="1" customWidth="1"/>
    <col min="4578" max="4578" width="14.85546875" style="1" customWidth="1"/>
    <col min="4579" max="4580" width="0" style="1" hidden="1" customWidth="1"/>
    <col min="4581" max="4581" width="14.85546875" style="1" customWidth="1"/>
    <col min="4582" max="4583" width="0" style="1" hidden="1" customWidth="1"/>
    <col min="4584" max="4584" width="14.85546875" style="1" customWidth="1"/>
    <col min="4585" max="4586" width="0" style="1" hidden="1" customWidth="1"/>
    <col min="4587" max="4588" width="14.85546875" style="1" customWidth="1"/>
    <col min="4589" max="4589" width="44.42578125" style="1" customWidth="1"/>
    <col min="4590" max="4594" width="14.85546875" style="1" customWidth="1"/>
    <col min="4595" max="4595" width="63.85546875" style="1" customWidth="1"/>
    <col min="4596" max="4596" width="13.28515625" style="1" customWidth="1"/>
    <col min="4597" max="4782" width="9" style="1"/>
    <col min="4783" max="4784" width="0" style="1" hidden="1" customWidth="1"/>
    <col min="4785" max="4785" width="13.7109375" style="1" customWidth="1"/>
    <col min="4786" max="4786" width="52.85546875" style="1" customWidth="1"/>
    <col min="4787" max="4826" width="0" style="1" hidden="1" customWidth="1"/>
    <col min="4827" max="4828" width="14.85546875" style="1" customWidth="1"/>
    <col min="4829" max="4830" width="0" style="1" hidden="1" customWidth="1"/>
    <col min="4831" max="4831" width="14.85546875" style="1" customWidth="1"/>
    <col min="4832" max="4833" width="0" style="1" hidden="1" customWidth="1"/>
    <col min="4834" max="4834" width="14.85546875" style="1" customWidth="1"/>
    <col min="4835" max="4836" width="0" style="1" hidden="1" customWidth="1"/>
    <col min="4837" max="4837" width="14.85546875" style="1" customWidth="1"/>
    <col min="4838" max="4839" width="0" style="1" hidden="1" customWidth="1"/>
    <col min="4840" max="4840" width="14.85546875" style="1" customWidth="1"/>
    <col min="4841" max="4842" width="0" style="1" hidden="1" customWidth="1"/>
    <col min="4843" max="4844" width="14.85546875" style="1" customWidth="1"/>
    <col min="4845" max="4845" width="44.42578125" style="1" customWidth="1"/>
    <col min="4846" max="4850" width="14.85546875" style="1" customWidth="1"/>
    <col min="4851" max="4851" width="63.85546875" style="1" customWidth="1"/>
    <col min="4852" max="4852" width="13.28515625" style="1" customWidth="1"/>
    <col min="4853" max="5038" width="9" style="1"/>
    <col min="5039" max="5040" width="0" style="1" hidden="1" customWidth="1"/>
    <col min="5041" max="5041" width="13.7109375" style="1" customWidth="1"/>
    <col min="5042" max="5042" width="52.85546875" style="1" customWidth="1"/>
    <col min="5043" max="5082" width="0" style="1" hidden="1" customWidth="1"/>
    <col min="5083" max="5084" width="14.85546875" style="1" customWidth="1"/>
    <col min="5085" max="5086" width="0" style="1" hidden="1" customWidth="1"/>
    <col min="5087" max="5087" width="14.85546875" style="1" customWidth="1"/>
    <col min="5088" max="5089" width="0" style="1" hidden="1" customWidth="1"/>
    <col min="5090" max="5090" width="14.85546875" style="1" customWidth="1"/>
    <col min="5091" max="5092" width="0" style="1" hidden="1" customWidth="1"/>
    <col min="5093" max="5093" width="14.85546875" style="1" customWidth="1"/>
    <col min="5094" max="5095" width="0" style="1" hidden="1" customWidth="1"/>
    <col min="5096" max="5096" width="14.85546875" style="1" customWidth="1"/>
    <col min="5097" max="5098" width="0" style="1" hidden="1" customWidth="1"/>
    <col min="5099" max="5100" width="14.85546875" style="1" customWidth="1"/>
    <col min="5101" max="5101" width="44.42578125" style="1" customWidth="1"/>
    <col min="5102" max="5106" width="14.85546875" style="1" customWidth="1"/>
    <col min="5107" max="5107" width="63.85546875" style="1" customWidth="1"/>
    <col min="5108" max="5108" width="13.28515625" style="1" customWidth="1"/>
    <col min="5109" max="5294" width="9" style="1"/>
    <col min="5295" max="5296" width="0" style="1" hidden="1" customWidth="1"/>
    <col min="5297" max="5297" width="13.7109375" style="1" customWidth="1"/>
    <col min="5298" max="5298" width="52.85546875" style="1" customWidth="1"/>
    <col min="5299" max="5338" width="0" style="1" hidden="1" customWidth="1"/>
    <col min="5339" max="5340" width="14.85546875" style="1" customWidth="1"/>
    <col min="5341" max="5342" width="0" style="1" hidden="1" customWidth="1"/>
    <col min="5343" max="5343" width="14.85546875" style="1" customWidth="1"/>
    <col min="5344" max="5345" width="0" style="1" hidden="1" customWidth="1"/>
    <col min="5346" max="5346" width="14.85546875" style="1" customWidth="1"/>
    <col min="5347" max="5348" width="0" style="1" hidden="1" customWidth="1"/>
    <col min="5349" max="5349" width="14.85546875" style="1" customWidth="1"/>
    <col min="5350" max="5351" width="0" style="1" hidden="1" customWidth="1"/>
    <col min="5352" max="5352" width="14.85546875" style="1" customWidth="1"/>
    <col min="5353" max="5354" width="0" style="1" hidden="1" customWidth="1"/>
    <col min="5355" max="5356" width="14.85546875" style="1" customWidth="1"/>
    <col min="5357" max="5357" width="44.42578125" style="1" customWidth="1"/>
    <col min="5358" max="5362" width="14.85546875" style="1" customWidth="1"/>
    <col min="5363" max="5363" width="63.85546875" style="1" customWidth="1"/>
    <col min="5364" max="5364" width="13.28515625" style="1" customWidth="1"/>
    <col min="5365" max="5550" width="9" style="1"/>
    <col min="5551" max="5552" width="0" style="1" hidden="1" customWidth="1"/>
    <col min="5553" max="5553" width="13.7109375" style="1" customWidth="1"/>
    <col min="5554" max="5554" width="52.85546875" style="1" customWidth="1"/>
    <col min="5555" max="5594" width="0" style="1" hidden="1" customWidth="1"/>
    <col min="5595" max="5596" width="14.85546875" style="1" customWidth="1"/>
    <col min="5597" max="5598" width="0" style="1" hidden="1" customWidth="1"/>
    <col min="5599" max="5599" width="14.85546875" style="1" customWidth="1"/>
    <col min="5600" max="5601" width="0" style="1" hidden="1" customWidth="1"/>
    <col min="5602" max="5602" width="14.85546875" style="1" customWidth="1"/>
    <col min="5603" max="5604" width="0" style="1" hidden="1" customWidth="1"/>
    <col min="5605" max="5605" width="14.85546875" style="1" customWidth="1"/>
    <col min="5606" max="5607" width="0" style="1" hidden="1" customWidth="1"/>
    <col min="5608" max="5608" width="14.85546875" style="1" customWidth="1"/>
    <col min="5609" max="5610" width="0" style="1" hidden="1" customWidth="1"/>
    <col min="5611" max="5612" width="14.85546875" style="1" customWidth="1"/>
    <col min="5613" max="5613" width="44.42578125" style="1" customWidth="1"/>
    <col min="5614" max="5618" width="14.85546875" style="1" customWidth="1"/>
    <col min="5619" max="5619" width="63.85546875" style="1" customWidth="1"/>
    <col min="5620" max="5620" width="13.28515625" style="1" customWidth="1"/>
    <col min="5621" max="5806" width="9" style="1"/>
    <col min="5807" max="5808" width="0" style="1" hidden="1" customWidth="1"/>
    <col min="5809" max="5809" width="13.7109375" style="1" customWidth="1"/>
    <col min="5810" max="5810" width="52.85546875" style="1" customWidth="1"/>
    <col min="5811" max="5850" width="0" style="1" hidden="1" customWidth="1"/>
    <col min="5851" max="5852" width="14.85546875" style="1" customWidth="1"/>
    <col min="5853" max="5854" width="0" style="1" hidden="1" customWidth="1"/>
    <col min="5855" max="5855" width="14.85546875" style="1" customWidth="1"/>
    <col min="5856" max="5857" width="0" style="1" hidden="1" customWidth="1"/>
    <col min="5858" max="5858" width="14.85546875" style="1" customWidth="1"/>
    <col min="5859" max="5860" width="0" style="1" hidden="1" customWidth="1"/>
    <col min="5861" max="5861" width="14.85546875" style="1" customWidth="1"/>
    <col min="5862" max="5863" width="0" style="1" hidden="1" customWidth="1"/>
    <col min="5864" max="5864" width="14.85546875" style="1" customWidth="1"/>
    <col min="5865" max="5866" width="0" style="1" hidden="1" customWidth="1"/>
    <col min="5867" max="5868" width="14.85546875" style="1" customWidth="1"/>
    <col min="5869" max="5869" width="44.42578125" style="1" customWidth="1"/>
    <col min="5870" max="5874" width="14.85546875" style="1" customWidth="1"/>
    <col min="5875" max="5875" width="63.85546875" style="1" customWidth="1"/>
    <col min="5876" max="5876" width="13.28515625" style="1" customWidth="1"/>
    <col min="5877" max="6062" width="9" style="1"/>
    <col min="6063" max="6064" width="0" style="1" hidden="1" customWidth="1"/>
    <col min="6065" max="6065" width="13.7109375" style="1" customWidth="1"/>
    <col min="6066" max="6066" width="52.85546875" style="1" customWidth="1"/>
    <col min="6067" max="6106" width="0" style="1" hidden="1" customWidth="1"/>
    <col min="6107" max="6108" width="14.85546875" style="1" customWidth="1"/>
    <col min="6109" max="6110" width="0" style="1" hidden="1" customWidth="1"/>
    <col min="6111" max="6111" width="14.85546875" style="1" customWidth="1"/>
    <col min="6112" max="6113" width="0" style="1" hidden="1" customWidth="1"/>
    <col min="6114" max="6114" width="14.85546875" style="1" customWidth="1"/>
    <col min="6115" max="6116" width="0" style="1" hidden="1" customWidth="1"/>
    <col min="6117" max="6117" width="14.85546875" style="1" customWidth="1"/>
    <col min="6118" max="6119" width="0" style="1" hidden="1" customWidth="1"/>
    <col min="6120" max="6120" width="14.85546875" style="1" customWidth="1"/>
    <col min="6121" max="6122" width="0" style="1" hidden="1" customWidth="1"/>
    <col min="6123" max="6124" width="14.85546875" style="1" customWidth="1"/>
    <col min="6125" max="6125" width="44.42578125" style="1" customWidth="1"/>
    <col min="6126" max="6130" width="14.85546875" style="1" customWidth="1"/>
    <col min="6131" max="6131" width="63.85546875" style="1" customWidth="1"/>
    <col min="6132" max="6132" width="13.28515625" style="1" customWidth="1"/>
    <col min="6133" max="6318" width="9" style="1"/>
    <col min="6319" max="6320" width="0" style="1" hidden="1" customWidth="1"/>
    <col min="6321" max="6321" width="13.7109375" style="1" customWidth="1"/>
    <col min="6322" max="6322" width="52.85546875" style="1" customWidth="1"/>
    <col min="6323" max="6362" width="0" style="1" hidden="1" customWidth="1"/>
    <col min="6363" max="6364" width="14.85546875" style="1" customWidth="1"/>
    <col min="6365" max="6366" width="0" style="1" hidden="1" customWidth="1"/>
    <col min="6367" max="6367" width="14.85546875" style="1" customWidth="1"/>
    <col min="6368" max="6369" width="0" style="1" hidden="1" customWidth="1"/>
    <col min="6370" max="6370" width="14.85546875" style="1" customWidth="1"/>
    <col min="6371" max="6372" width="0" style="1" hidden="1" customWidth="1"/>
    <col min="6373" max="6373" width="14.85546875" style="1" customWidth="1"/>
    <col min="6374" max="6375" width="0" style="1" hidden="1" customWidth="1"/>
    <col min="6376" max="6376" width="14.85546875" style="1" customWidth="1"/>
    <col min="6377" max="6378" width="0" style="1" hidden="1" customWidth="1"/>
    <col min="6379" max="6380" width="14.85546875" style="1" customWidth="1"/>
    <col min="6381" max="6381" width="44.42578125" style="1" customWidth="1"/>
    <col min="6382" max="6386" width="14.85546875" style="1" customWidth="1"/>
    <col min="6387" max="6387" width="63.85546875" style="1" customWidth="1"/>
    <col min="6388" max="6388" width="13.28515625" style="1" customWidth="1"/>
    <col min="6389" max="6574" width="9" style="1"/>
    <col min="6575" max="6576" width="0" style="1" hidden="1" customWidth="1"/>
    <col min="6577" max="6577" width="13.7109375" style="1" customWidth="1"/>
    <col min="6578" max="6578" width="52.85546875" style="1" customWidth="1"/>
    <col min="6579" max="6618" width="0" style="1" hidden="1" customWidth="1"/>
    <col min="6619" max="6620" width="14.85546875" style="1" customWidth="1"/>
    <col min="6621" max="6622" width="0" style="1" hidden="1" customWidth="1"/>
    <col min="6623" max="6623" width="14.85546875" style="1" customWidth="1"/>
    <col min="6624" max="6625" width="0" style="1" hidden="1" customWidth="1"/>
    <col min="6626" max="6626" width="14.85546875" style="1" customWidth="1"/>
    <col min="6627" max="6628" width="0" style="1" hidden="1" customWidth="1"/>
    <col min="6629" max="6629" width="14.85546875" style="1" customWidth="1"/>
    <col min="6630" max="6631" width="0" style="1" hidden="1" customWidth="1"/>
    <col min="6632" max="6632" width="14.85546875" style="1" customWidth="1"/>
    <col min="6633" max="6634" width="0" style="1" hidden="1" customWidth="1"/>
    <col min="6635" max="6636" width="14.85546875" style="1" customWidth="1"/>
    <col min="6637" max="6637" width="44.42578125" style="1" customWidth="1"/>
    <col min="6638" max="6642" width="14.85546875" style="1" customWidth="1"/>
    <col min="6643" max="6643" width="63.85546875" style="1" customWidth="1"/>
    <col min="6644" max="6644" width="13.28515625" style="1" customWidth="1"/>
    <col min="6645" max="6830" width="9" style="1"/>
    <col min="6831" max="6832" width="0" style="1" hidden="1" customWidth="1"/>
    <col min="6833" max="6833" width="13.7109375" style="1" customWidth="1"/>
    <col min="6834" max="6834" width="52.85546875" style="1" customWidth="1"/>
    <col min="6835" max="6874" width="0" style="1" hidden="1" customWidth="1"/>
    <col min="6875" max="6876" width="14.85546875" style="1" customWidth="1"/>
    <col min="6877" max="6878" width="0" style="1" hidden="1" customWidth="1"/>
    <col min="6879" max="6879" width="14.85546875" style="1" customWidth="1"/>
    <col min="6880" max="6881" width="0" style="1" hidden="1" customWidth="1"/>
    <col min="6882" max="6882" width="14.85546875" style="1" customWidth="1"/>
    <col min="6883" max="6884" width="0" style="1" hidden="1" customWidth="1"/>
    <col min="6885" max="6885" width="14.85546875" style="1" customWidth="1"/>
    <col min="6886" max="6887" width="0" style="1" hidden="1" customWidth="1"/>
    <col min="6888" max="6888" width="14.85546875" style="1" customWidth="1"/>
    <col min="6889" max="6890" width="0" style="1" hidden="1" customWidth="1"/>
    <col min="6891" max="6892" width="14.85546875" style="1" customWidth="1"/>
    <col min="6893" max="6893" width="44.42578125" style="1" customWidth="1"/>
    <col min="6894" max="6898" width="14.85546875" style="1" customWidth="1"/>
    <col min="6899" max="6899" width="63.85546875" style="1" customWidth="1"/>
    <col min="6900" max="6900" width="13.28515625" style="1" customWidth="1"/>
    <col min="6901" max="7086" width="9" style="1"/>
    <col min="7087" max="7088" width="0" style="1" hidden="1" customWidth="1"/>
    <col min="7089" max="7089" width="13.7109375" style="1" customWidth="1"/>
    <col min="7090" max="7090" width="52.85546875" style="1" customWidth="1"/>
    <col min="7091" max="7130" width="0" style="1" hidden="1" customWidth="1"/>
    <col min="7131" max="7132" width="14.85546875" style="1" customWidth="1"/>
    <col min="7133" max="7134" width="0" style="1" hidden="1" customWidth="1"/>
    <col min="7135" max="7135" width="14.85546875" style="1" customWidth="1"/>
    <col min="7136" max="7137" width="0" style="1" hidden="1" customWidth="1"/>
    <col min="7138" max="7138" width="14.85546875" style="1" customWidth="1"/>
    <col min="7139" max="7140" width="0" style="1" hidden="1" customWidth="1"/>
    <col min="7141" max="7141" width="14.85546875" style="1" customWidth="1"/>
    <col min="7142" max="7143" width="0" style="1" hidden="1" customWidth="1"/>
    <col min="7144" max="7144" width="14.85546875" style="1" customWidth="1"/>
    <col min="7145" max="7146" width="0" style="1" hidden="1" customWidth="1"/>
    <col min="7147" max="7148" width="14.85546875" style="1" customWidth="1"/>
    <col min="7149" max="7149" width="44.42578125" style="1" customWidth="1"/>
    <col min="7150" max="7154" width="14.85546875" style="1" customWidth="1"/>
    <col min="7155" max="7155" width="63.85546875" style="1" customWidth="1"/>
    <col min="7156" max="7156" width="13.28515625" style="1" customWidth="1"/>
    <col min="7157" max="7342" width="9" style="1"/>
    <col min="7343" max="7344" width="0" style="1" hidden="1" customWidth="1"/>
    <col min="7345" max="7345" width="13.7109375" style="1" customWidth="1"/>
    <col min="7346" max="7346" width="52.85546875" style="1" customWidth="1"/>
    <col min="7347" max="7386" width="0" style="1" hidden="1" customWidth="1"/>
    <col min="7387" max="7388" width="14.85546875" style="1" customWidth="1"/>
    <col min="7389" max="7390" width="0" style="1" hidden="1" customWidth="1"/>
    <col min="7391" max="7391" width="14.85546875" style="1" customWidth="1"/>
    <col min="7392" max="7393" width="0" style="1" hidden="1" customWidth="1"/>
    <col min="7394" max="7394" width="14.85546875" style="1" customWidth="1"/>
    <col min="7395" max="7396" width="0" style="1" hidden="1" customWidth="1"/>
    <col min="7397" max="7397" width="14.85546875" style="1" customWidth="1"/>
    <col min="7398" max="7399" width="0" style="1" hidden="1" customWidth="1"/>
    <col min="7400" max="7400" width="14.85546875" style="1" customWidth="1"/>
    <col min="7401" max="7402" width="0" style="1" hidden="1" customWidth="1"/>
    <col min="7403" max="7404" width="14.85546875" style="1" customWidth="1"/>
    <col min="7405" max="7405" width="44.42578125" style="1" customWidth="1"/>
    <col min="7406" max="7410" width="14.85546875" style="1" customWidth="1"/>
    <col min="7411" max="7411" width="63.85546875" style="1" customWidth="1"/>
    <col min="7412" max="7412" width="13.28515625" style="1" customWidth="1"/>
    <col min="7413" max="7598" width="9" style="1"/>
    <col min="7599" max="7600" width="0" style="1" hidden="1" customWidth="1"/>
    <col min="7601" max="7601" width="13.7109375" style="1" customWidth="1"/>
    <col min="7602" max="7602" width="52.85546875" style="1" customWidth="1"/>
    <col min="7603" max="7642" width="0" style="1" hidden="1" customWidth="1"/>
    <col min="7643" max="7644" width="14.85546875" style="1" customWidth="1"/>
    <col min="7645" max="7646" width="0" style="1" hidden="1" customWidth="1"/>
    <col min="7647" max="7647" width="14.85546875" style="1" customWidth="1"/>
    <col min="7648" max="7649" width="0" style="1" hidden="1" customWidth="1"/>
    <col min="7650" max="7650" width="14.85546875" style="1" customWidth="1"/>
    <col min="7651" max="7652" width="0" style="1" hidden="1" customWidth="1"/>
    <col min="7653" max="7653" width="14.85546875" style="1" customWidth="1"/>
    <col min="7654" max="7655" width="0" style="1" hidden="1" customWidth="1"/>
    <col min="7656" max="7656" width="14.85546875" style="1" customWidth="1"/>
    <col min="7657" max="7658" width="0" style="1" hidden="1" customWidth="1"/>
    <col min="7659" max="7660" width="14.85546875" style="1" customWidth="1"/>
    <col min="7661" max="7661" width="44.42578125" style="1" customWidth="1"/>
    <col min="7662" max="7666" width="14.85546875" style="1" customWidth="1"/>
    <col min="7667" max="7667" width="63.85546875" style="1" customWidth="1"/>
    <col min="7668" max="7668" width="13.28515625" style="1" customWidth="1"/>
    <col min="7669" max="7854" width="9" style="1"/>
    <col min="7855" max="7856" width="0" style="1" hidden="1" customWidth="1"/>
    <col min="7857" max="7857" width="13.7109375" style="1" customWidth="1"/>
    <col min="7858" max="7858" width="52.85546875" style="1" customWidth="1"/>
    <col min="7859" max="7898" width="0" style="1" hidden="1" customWidth="1"/>
    <col min="7899" max="7900" width="14.85546875" style="1" customWidth="1"/>
    <col min="7901" max="7902" width="0" style="1" hidden="1" customWidth="1"/>
    <col min="7903" max="7903" width="14.85546875" style="1" customWidth="1"/>
    <col min="7904" max="7905" width="0" style="1" hidden="1" customWidth="1"/>
    <col min="7906" max="7906" width="14.85546875" style="1" customWidth="1"/>
    <col min="7907" max="7908" width="0" style="1" hidden="1" customWidth="1"/>
    <col min="7909" max="7909" width="14.85546875" style="1" customWidth="1"/>
    <col min="7910" max="7911" width="0" style="1" hidden="1" customWidth="1"/>
    <col min="7912" max="7912" width="14.85546875" style="1" customWidth="1"/>
    <col min="7913" max="7914" width="0" style="1" hidden="1" customWidth="1"/>
    <col min="7915" max="7916" width="14.85546875" style="1" customWidth="1"/>
    <col min="7917" max="7917" width="44.42578125" style="1" customWidth="1"/>
    <col min="7918" max="7922" width="14.85546875" style="1" customWidth="1"/>
    <col min="7923" max="7923" width="63.85546875" style="1" customWidth="1"/>
    <col min="7924" max="7924" width="13.28515625" style="1" customWidth="1"/>
    <col min="7925" max="8110" width="9" style="1"/>
    <col min="8111" max="8112" width="0" style="1" hidden="1" customWidth="1"/>
    <col min="8113" max="8113" width="13.7109375" style="1" customWidth="1"/>
    <col min="8114" max="8114" width="52.85546875" style="1" customWidth="1"/>
    <col min="8115" max="8154" width="0" style="1" hidden="1" customWidth="1"/>
    <col min="8155" max="8156" width="14.85546875" style="1" customWidth="1"/>
    <col min="8157" max="8158" width="0" style="1" hidden="1" customWidth="1"/>
    <col min="8159" max="8159" width="14.85546875" style="1" customWidth="1"/>
    <col min="8160" max="8161" width="0" style="1" hidden="1" customWidth="1"/>
    <col min="8162" max="8162" width="14.85546875" style="1" customWidth="1"/>
    <col min="8163" max="8164" width="0" style="1" hidden="1" customWidth="1"/>
    <col min="8165" max="8165" width="14.85546875" style="1" customWidth="1"/>
    <col min="8166" max="8167" width="0" style="1" hidden="1" customWidth="1"/>
    <col min="8168" max="8168" width="14.85546875" style="1" customWidth="1"/>
    <col min="8169" max="8170" width="0" style="1" hidden="1" customWidth="1"/>
    <col min="8171" max="8172" width="14.85546875" style="1" customWidth="1"/>
    <col min="8173" max="8173" width="44.42578125" style="1" customWidth="1"/>
    <col min="8174" max="8178" width="14.85546875" style="1" customWidth="1"/>
    <col min="8179" max="8179" width="63.85546875" style="1" customWidth="1"/>
    <col min="8180" max="8180" width="13.28515625" style="1" customWidth="1"/>
    <col min="8181" max="8366" width="9" style="1"/>
    <col min="8367" max="8368" width="0" style="1" hidden="1" customWidth="1"/>
    <col min="8369" max="8369" width="13.7109375" style="1" customWidth="1"/>
    <col min="8370" max="8370" width="52.85546875" style="1" customWidth="1"/>
    <col min="8371" max="8410" width="0" style="1" hidden="1" customWidth="1"/>
    <col min="8411" max="8412" width="14.85546875" style="1" customWidth="1"/>
    <col min="8413" max="8414" width="0" style="1" hidden="1" customWidth="1"/>
    <col min="8415" max="8415" width="14.85546875" style="1" customWidth="1"/>
    <col min="8416" max="8417" width="0" style="1" hidden="1" customWidth="1"/>
    <col min="8418" max="8418" width="14.85546875" style="1" customWidth="1"/>
    <col min="8419" max="8420" width="0" style="1" hidden="1" customWidth="1"/>
    <col min="8421" max="8421" width="14.85546875" style="1" customWidth="1"/>
    <col min="8422" max="8423" width="0" style="1" hidden="1" customWidth="1"/>
    <col min="8424" max="8424" width="14.85546875" style="1" customWidth="1"/>
    <col min="8425" max="8426" width="0" style="1" hidden="1" customWidth="1"/>
    <col min="8427" max="8428" width="14.85546875" style="1" customWidth="1"/>
    <col min="8429" max="8429" width="44.42578125" style="1" customWidth="1"/>
    <col min="8430" max="8434" width="14.85546875" style="1" customWidth="1"/>
    <col min="8435" max="8435" width="63.85546875" style="1" customWidth="1"/>
    <col min="8436" max="8436" width="13.28515625" style="1" customWidth="1"/>
    <col min="8437" max="8622" width="9" style="1"/>
    <col min="8623" max="8624" width="0" style="1" hidden="1" customWidth="1"/>
    <col min="8625" max="8625" width="13.7109375" style="1" customWidth="1"/>
    <col min="8626" max="8626" width="52.85546875" style="1" customWidth="1"/>
    <col min="8627" max="8666" width="0" style="1" hidden="1" customWidth="1"/>
    <col min="8667" max="8668" width="14.85546875" style="1" customWidth="1"/>
    <col min="8669" max="8670" width="0" style="1" hidden="1" customWidth="1"/>
    <col min="8671" max="8671" width="14.85546875" style="1" customWidth="1"/>
    <col min="8672" max="8673" width="0" style="1" hidden="1" customWidth="1"/>
    <col min="8674" max="8674" width="14.85546875" style="1" customWidth="1"/>
    <col min="8675" max="8676" width="0" style="1" hidden="1" customWidth="1"/>
    <col min="8677" max="8677" width="14.85546875" style="1" customWidth="1"/>
    <col min="8678" max="8679" width="0" style="1" hidden="1" customWidth="1"/>
    <col min="8680" max="8680" width="14.85546875" style="1" customWidth="1"/>
    <col min="8681" max="8682" width="0" style="1" hidden="1" customWidth="1"/>
    <col min="8683" max="8684" width="14.85546875" style="1" customWidth="1"/>
    <col min="8685" max="8685" width="44.42578125" style="1" customWidth="1"/>
    <col min="8686" max="8690" width="14.85546875" style="1" customWidth="1"/>
    <col min="8691" max="8691" width="63.85546875" style="1" customWidth="1"/>
    <col min="8692" max="8692" width="13.28515625" style="1" customWidth="1"/>
    <col min="8693" max="8878" width="9" style="1"/>
    <col min="8879" max="8880" width="0" style="1" hidden="1" customWidth="1"/>
    <col min="8881" max="8881" width="13.7109375" style="1" customWidth="1"/>
    <col min="8882" max="8882" width="52.85546875" style="1" customWidth="1"/>
    <col min="8883" max="8922" width="0" style="1" hidden="1" customWidth="1"/>
    <col min="8923" max="8924" width="14.85546875" style="1" customWidth="1"/>
    <col min="8925" max="8926" width="0" style="1" hidden="1" customWidth="1"/>
    <col min="8927" max="8927" width="14.85546875" style="1" customWidth="1"/>
    <col min="8928" max="8929" width="0" style="1" hidden="1" customWidth="1"/>
    <col min="8930" max="8930" width="14.85546875" style="1" customWidth="1"/>
    <col min="8931" max="8932" width="0" style="1" hidden="1" customWidth="1"/>
    <col min="8933" max="8933" width="14.85546875" style="1" customWidth="1"/>
    <col min="8934" max="8935" width="0" style="1" hidden="1" customWidth="1"/>
    <col min="8936" max="8936" width="14.85546875" style="1" customWidth="1"/>
    <col min="8937" max="8938" width="0" style="1" hidden="1" customWidth="1"/>
    <col min="8939" max="8940" width="14.85546875" style="1" customWidth="1"/>
    <col min="8941" max="8941" width="44.42578125" style="1" customWidth="1"/>
    <col min="8942" max="8946" width="14.85546875" style="1" customWidth="1"/>
    <col min="8947" max="8947" width="63.85546875" style="1" customWidth="1"/>
    <col min="8948" max="8948" width="13.28515625" style="1" customWidth="1"/>
    <col min="8949" max="9134" width="9" style="1"/>
    <col min="9135" max="9136" width="0" style="1" hidden="1" customWidth="1"/>
    <col min="9137" max="9137" width="13.7109375" style="1" customWidth="1"/>
    <col min="9138" max="9138" width="52.85546875" style="1" customWidth="1"/>
    <col min="9139" max="9178" width="0" style="1" hidden="1" customWidth="1"/>
    <col min="9179" max="9180" width="14.85546875" style="1" customWidth="1"/>
    <col min="9181" max="9182" width="0" style="1" hidden="1" customWidth="1"/>
    <col min="9183" max="9183" width="14.85546875" style="1" customWidth="1"/>
    <col min="9184" max="9185" width="0" style="1" hidden="1" customWidth="1"/>
    <col min="9186" max="9186" width="14.85546875" style="1" customWidth="1"/>
    <col min="9187" max="9188" width="0" style="1" hidden="1" customWidth="1"/>
    <col min="9189" max="9189" width="14.85546875" style="1" customWidth="1"/>
    <col min="9190" max="9191" width="0" style="1" hidden="1" customWidth="1"/>
    <col min="9192" max="9192" width="14.85546875" style="1" customWidth="1"/>
    <col min="9193" max="9194" width="0" style="1" hidden="1" customWidth="1"/>
    <col min="9195" max="9196" width="14.85546875" style="1" customWidth="1"/>
    <col min="9197" max="9197" width="44.42578125" style="1" customWidth="1"/>
    <col min="9198" max="9202" width="14.85546875" style="1" customWidth="1"/>
    <col min="9203" max="9203" width="63.85546875" style="1" customWidth="1"/>
    <col min="9204" max="9204" width="13.28515625" style="1" customWidth="1"/>
    <col min="9205" max="9390" width="9" style="1"/>
    <col min="9391" max="9392" width="0" style="1" hidden="1" customWidth="1"/>
    <col min="9393" max="9393" width="13.7109375" style="1" customWidth="1"/>
    <col min="9394" max="9394" width="52.85546875" style="1" customWidth="1"/>
    <col min="9395" max="9434" width="0" style="1" hidden="1" customWidth="1"/>
    <col min="9435" max="9436" width="14.85546875" style="1" customWidth="1"/>
    <col min="9437" max="9438" width="0" style="1" hidden="1" customWidth="1"/>
    <col min="9439" max="9439" width="14.85546875" style="1" customWidth="1"/>
    <col min="9440" max="9441" width="0" style="1" hidden="1" customWidth="1"/>
    <col min="9442" max="9442" width="14.85546875" style="1" customWidth="1"/>
    <col min="9443" max="9444" width="0" style="1" hidden="1" customWidth="1"/>
    <col min="9445" max="9445" width="14.85546875" style="1" customWidth="1"/>
    <col min="9446" max="9447" width="0" style="1" hidden="1" customWidth="1"/>
    <col min="9448" max="9448" width="14.85546875" style="1" customWidth="1"/>
    <col min="9449" max="9450" width="0" style="1" hidden="1" customWidth="1"/>
    <col min="9451" max="9452" width="14.85546875" style="1" customWidth="1"/>
    <col min="9453" max="9453" width="44.42578125" style="1" customWidth="1"/>
    <col min="9454" max="9458" width="14.85546875" style="1" customWidth="1"/>
    <col min="9459" max="9459" width="63.85546875" style="1" customWidth="1"/>
    <col min="9460" max="9460" width="13.28515625" style="1" customWidth="1"/>
    <col min="9461" max="9646" width="9" style="1"/>
    <col min="9647" max="9648" width="0" style="1" hidden="1" customWidth="1"/>
    <col min="9649" max="9649" width="13.7109375" style="1" customWidth="1"/>
    <col min="9650" max="9650" width="52.85546875" style="1" customWidth="1"/>
    <col min="9651" max="9690" width="0" style="1" hidden="1" customWidth="1"/>
    <col min="9691" max="9692" width="14.85546875" style="1" customWidth="1"/>
    <col min="9693" max="9694" width="0" style="1" hidden="1" customWidth="1"/>
    <col min="9695" max="9695" width="14.85546875" style="1" customWidth="1"/>
    <col min="9696" max="9697" width="0" style="1" hidden="1" customWidth="1"/>
    <col min="9698" max="9698" width="14.85546875" style="1" customWidth="1"/>
    <col min="9699" max="9700" width="0" style="1" hidden="1" customWidth="1"/>
    <col min="9701" max="9701" width="14.85546875" style="1" customWidth="1"/>
    <col min="9702" max="9703" width="0" style="1" hidden="1" customWidth="1"/>
    <col min="9704" max="9704" width="14.85546875" style="1" customWidth="1"/>
    <col min="9705" max="9706" width="0" style="1" hidden="1" customWidth="1"/>
    <col min="9707" max="9708" width="14.85546875" style="1" customWidth="1"/>
    <col min="9709" max="9709" width="44.42578125" style="1" customWidth="1"/>
    <col min="9710" max="9714" width="14.85546875" style="1" customWidth="1"/>
    <col min="9715" max="9715" width="63.85546875" style="1" customWidth="1"/>
    <col min="9716" max="9716" width="13.28515625" style="1" customWidth="1"/>
    <col min="9717" max="9902" width="9" style="1"/>
    <col min="9903" max="9904" width="0" style="1" hidden="1" customWidth="1"/>
    <col min="9905" max="9905" width="13.7109375" style="1" customWidth="1"/>
    <col min="9906" max="9906" width="52.85546875" style="1" customWidth="1"/>
    <col min="9907" max="9946" width="0" style="1" hidden="1" customWidth="1"/>
    <col min="9947" max="9948" width="14.85546875" style="1" customWidth="1"/>
    <col min="9949" max="9950" width="0" style="1" hidden="1" customWidth="1"/>
    <col min="9951" max="9951" width="14.85546875" style="1" customWidth="1"/>
    <col min="9952" max="9953" width="0" style="1" hidden="1" customWidth="1"/>
    <col min="9954" max="9954" width="14.85546875" style="1" customWidth="1"/>
    <col min="9955" max="9956" width="0" style="1" hidden="1" customWidth="1"/>
    <col min="9957" max="9957" width="14.85546875" style="1" customWidth="1"/>
    <col min="9958" max="9959" width="0" style="1" hidden="1" customWidth="1"/>
    <col min="9960" max="9960" width="14.85546875" style="1" customWidth="1"/>
    <col min="9961" max="9962" width="0" style="1" hidden="1" customWidth="1"/>
    <col min="9963" max="9964" width="14.85546875" style="1" customWidth="1"/>
    <col min="9965" max="9965" width="44.42578125" style="1" customWidth="1"/>
    <col min="9966" max="9970" width="14.85546875" style="1" customWidth="1"/>
    <col min="9971" max="9971" width="63.85546875" style="1" customWidth="1"/>
    <col min="9972" max="9972" width="13.28515625" style="1" customWidth="1"/>
    <col min="9973" max="10158" width="9" style="1"/>
    <col min="10159" max="10160" width="0" style="1" hidden="1" customWidth="1"/>
    <col min="10161" max="10161" width="13.7109375" style="1" customWidth="1"/>
    <col min="10162" max="10162" width="52.85546875" style="1" customWidth="1"/>
    <col min="10163" max="10202" width="0" style="1" hidden="1" customWidth="1"/>
    <col min="10203" max="10204" width="14.85546875" style="1" customWidth="1"/>
    <col min="10205" max="10206" width="0" style="1" hidden="1" customWidth="1"/>
    <col min="10207" max="10207" width="14.85546875" style="1" customWidth="1"/>
    <col min="10208" max="10209" width="0" style="1" hidden="1" customWidth="1"/>
    <col min="10210" max="10210" width="14.85546875" style="1" customWidth="1"/>
    <col min="10211" max="10212" width="0" style="1" hidden="1" customWidth="1"/>
    <col min="10213" max="10213" width="14.85546875" style="1" customWidth="1"/>
    <col min="10214" max="10215" width="0" style="1" hidden="1" customWidth="1"/>
    <col min="10216" max="10216" width="14.85546875" style="1" customWidth="1"/>
    <col min="10217" max="10218" width="0" style="1" hidden="1" customWidth="1"/>
    <col min="10219" max="10220" width="14.85546875" style="1" customWidth="1"/>
    <col min="10221" max="10221" width="44.42578125" style="1" customWidth="1"/>
    <col min="10222" max="10226" width="14.85546875" style="1" customWidth="1"/>
    <col min="10227" max="10227" width="63.85546875" style="1" customWidth="1"/>
    <col min="10228" max="10228" width="13.28515625" style="1" customWidth="1"/>
    <col min="10229" max="10414" width="9" style="1"/>
    <col min="10415" max="10416" width="0" style="1" hidden="1" customWidth="1"/>
    <col min="10417" max="10417" width="13.7109375" style="1" customWidth="1"/>
    <col min="10418" max="10418" width="52.85546875" style="1" customWidth="1"/>
    <col min="10419" max="10458" width="0" style="1" hidden="1" customWidth="1"/>
    <col min="10459" max="10460" width="14.85546875" style="1" customWidth="1"/>
    <col min="10461" max="10462" width="0" style="1" hidden="1" customWidth="1"/>
    <col min="10463" max="10463" width="14.85546875" style="1" customWidth="1"/>
    <col min="10464" max="10465" width="0" style="1" hidden="1" customWidth="1"/>
    <col min="10466" max="10466" width="14.85546875" style="1" customWidth="1"/>
    <col min="10467" max="10468" width="0" style="1" hidden="1" customWidth="1"/>
    <col min="10469" max="10469" width="14.85546875" style="1" customWidth="1"/>
    <col min="10470" max="10471" width="0" style="1" hidden="1" customWidth="1"/>
    <col min="10472" max="10472" width="14.85546875" style="1" customWidth="1"/>
    <col min="10473" max="10474" width="0" style="1" hidden="1" customWidth="1"/>
    <col min="10475" max="10476" width="14.85546875" style="1" customWidth="1"/>
    <col min="10477" max="10477" width="44.42578125" style="1" customWidth="1"/>
    <col min="10478" max="10482" width="14.85546875" style="1" customWidth="1"/>
    <col min="10483" max="10483" width="63.85546875" style="1" customWidth="1"/>
    <col min="10484" max="10484" width="13.28515625" style="1" customWidth="1"/>
    <col min="10485" max="10670" width="9" style="1"/>
    <col min="10671" max="10672" width="0" style="1" hidden="1" customWidth="1"/>
    <col min="10673" max="10673" width="13.7109375" style="1" customWidth="1"/>
    <col min="10674" max="10674" width="52.85546875" style="1" customWidth="1"/>
    <col min="10675" max="10714" width="0" style="1" hidden="1" customWidth="1"/>
    <col min="10715" max="10716" width="14.85546875" style="1" customWidth="1"/>
    <col min="10717" max="10718" width="0" style="1" hidden="1" customWidth="1"/>
    <col min="10719" max="10719" width="14.85546875" style="1" customWidth="1"/>
    <col min="10720" max="10721" width="0" style="1" hidden="1" customWidth="1"/>
    <col min="10722" max="10722" width="14.85546875" style="1" customWidth="1"/>
    <col min="10723" max="10724" width="0" style="1" hidden="1" customWidth="1"/>
    <col min="10725" max="10725" width="14.85546875" style="1" customWidth="1"/>
    <col min="10726" max="10727" width="0" style="1" hidden="1" customWidth="1"/>
    <col min="10728" max="10728" width="14.85546875" style="1" customWidth="1"/>
    <col min="10729" max="10730" width="0" style="1" hidden="1" customWidth="1"/>
    <col min="10731" max="10732" width="14.85546875" style="1" customWidth="1"/>
    <col min="10733" max="10733" width="44.42578125" style="1" customWidth="1"/>
    <col min="10734" max="10738" width="14.85546875" style="1" customWidth="1"/>
    <col min="10739" max="10739" width="63.85546875" style="1" customWidth="1"/>
    <col min="10740" max="10740" width="13.28515625" style="1" customWidth="1"/>
    <col min="10741" max="10926" width="9" style="1"/>
    <col min="10927" max="10928" width="0" style="1" hidden="1" customWidth="1"/>
    <col min="10929" max="10929" width="13.7109375" style="1" customWidth="1"/>
    <col min="10930" max="10930" width="52.85546875" style="1" customWidth="1"/>
    <col min="10931" max="10970" width="0" style="1" hidden="1" customWidth="1"/>
    <col min="10971" max="10972" width="14.85546875" style="1" customWidth="1"/>
    <col min="10973" max="10974" width="0" style="1" hidden="1" customWidth="1"/>
    <col min="10975" max="10975" width="14.85546875" style="1" customWidth="1"/>
    <col min="10976" max="10977" width="0" style="1" hidden="1" customWidth="1"/>
    <col min="10978" max="10978" width="14.85546875" style="1" customWidth="1"/>
    <col min="10979" max="10980" width="0" style="1" hidden="1" customWidth="1"/>
    <col min="10981" max="10981" width="14.85546875" style="1" customWidth="1"/>
    <col min="10982" max="10983" width="0" style="1" hidden="1" customWidth="1"/>
    <col min="10984" max="10984" width="14.85546875" style="1" customWidth="1"/>
    <col min="10985" max="10986" width="0" style="1" hidden="1" customWidth="1"/>
    <col min="10987" max="10988" width="14.85546875" style="1" customWidth="1"/>
    <col min="10989" max="10989" width="44.42578125" style="1" customWidth="1"/>
    <col min="10990" max="10994" width="14.85546875" style="1" customWidth="1"/>
    <col min="10995" max="10995" width="63.85546875" style="1" customWidth="1"/>
    <col min="10996" max="10996" width="13.28515625" style="1" customWidth="1"/>
    <col min="10997" max="11182" width="9" style="1"/>
    <col min="11183" max="11184" width="0" style="1" hidden="1" customWidth="1"/>
    <col min="11185" max="11185" width="13.7109375" style="1" customWidth="1"/>
    <col min="11186" max="11186" width="52.85546875" style="1" customWidth="1"/>
    <col min="11187" max="11226" width="0" style="1" hidden="1" customWidth="1"/>
    <col min="11227" max="11228" width="14.85546875" style="1" customWidth="1"/>
    <col min="11229" max="11230" width="0" style="1" hidden="1" customWidth="1"/>
    <col min="11231" max="11231" width="14.85546875" style="1" customWidth="1"/>
    <col min="11232" max="11233" width="0" style="1" hidden="1" customWidth="1"/>
    <col min="11234" max="11234" width="14.85546875" style="1" customWidth="1"/>
    <col min="11235" max="11236" width="0" style="1" hidden="1" customWidth="1"/>
    <col min="11237" max="11237" width="14.85546875" style="1" customWidth="1"/>
    <col min="11238" max="11239" width="0" style="1" hidden="1" customWidth="1"/>
    <col min="11240" max="11240" width="14.85546875" style="1" customWidth="1"/>
    <col min="11241" max="11242" width="0" style="1" hidden="1" customWidth="1"/>
    <col min="11243" max="11244" width="14.85546875" style="1" customWidth="1"/>
    <col min="11245" max="11245" width="44.42578125" style="1" customWidth="1"/>
    <col min="11246" max="11250" width="14.85546875" style="1" customWidth="1"/>
    <col min="11251" max="11251" width="63.85546875" style="1" customWidth="1"/>
    <col min="11252" max="11252" width="13.28515625" style="1" customWidth="1"/>
    <col min="11253" max="11438" width="9" style="1"/>
    <col min="11439" max="11440" width="0" style="1" hidden="1" customWidth="1"/>
    <col min="11441" max="11441" width="13.7109375" style="1" customWidth="1"/>
    <col min="11442" max="11442" width="52.85546875" style="1" customWidth="1"/>
    <col min="11443" max="11482" width="0" style="1" hidden="1" customWidth="1"/>
    <col min="11483" max="11484" width="14.85546875" style="1" customWidth="1"/>
    <col min="11485" max="11486" width="0" style="1" hidden="1" customWidth="1"/>
    <col min="11487" max="11487" width="14.85546875" style="1" customWidth="1"/>
    <col min="11488" max="11489" width="0" style="1" hidden="1" customWidth="1"/>
    <col min="11490" max="11490" width="14.85546875" style="1" customWidth="1"/>
    <col min="11491" max="11492" width="0" style="1" hidden="1" customWidth="1"/>
    <col min="11493" max="11493" width="14.85546875" style="1" customWidth="1"/>
    <col min="11494" max="11495" width="0" style="1" hidden="1" customWidth="1"/>
    <col min="11496" max="11496" width="14.85546875" style="1" customWidth="1"/>
    <col min="11497" max="11498" width="0" style="1" hidden="1" customWidth="1"/>
    <col min="11499" max="11500" width="14.85546875" style="1" customWidth="1"/>
    <col min="11501" max="11501" width="44.42578125" style="1" customWidth="1"/>
    <col min="11502" max="11506" width="14.85546875" style="1" customWidth="1"/>
    <col min="11507" max="11507" width="63.85546875" style="1" customWidth="1"/>
    <col min="11508" max="11508" width="13.28515625" style="1" customWidth="1"/>
    <col min="11509" max="11694" width="9" style="1"/>
    <col min="11695" max="11696" width="0" style="1" hidden="1" customWidth="1"/>
    <col min="11697" max="11697" width="13.7109375" style="1" customWidth="1"/>
    <col min="11698" max="11698" width="52.85546875" style="1" customWidth="1"/>
    <col min="11699" max="11738" width="0" style="1" hidden="1" customWidth="1"/>
    <col min="11739" max="11740" width="14.85546875" style="1" customWidth="1"/>
    <col min="11741" max="11742" width="0" style="1" hidden="1" customWidth="1"/>
    <col min="11743" max="11743" width="14.85546875" style="1" customWidth="1"/>
    <col min="11744" max="11745" width="0" style="1" hidden="1" customWidth="1"/>
    <col min="11746" max="11746" width="14.85546875" style="1" customWidth="1"/>
    <col min="11747" max="11748" width="0" style="1" hidden="1" customWidth="1"/>
    <col min="11749" max="11749" width="14.85546875" style="1" customWidth="1"/>
    <col min="11750" max="11751" width="0" style="1" hidden="1" customWidth="1"/>
    <col min="11752" max="11752" width="14.85546875" style="1" customWidth="1"/>
    <col min="11753" max="11754" width="0" style="1" hidden="1" customWidth="1"/>
    <col min="11755" max="11756" width="14.85546875" style="1" customWidth="1"/>
    <col min="11757" max="11757" width="44.42578125" style="1" customWidth="1"/>
    <col min="11758" max="11762" width="14.85546875" style="1" customWidth="1"/>
    <col min="11763" max="11763" width="63.85546875" style="1" customWidth="1"/>
    <col min="11764" max="11764" width="13.28515625" style="1" customWidth="1"/>
    <col min="11765" max="11950" width="9" style="1"/>
    <col min="11951" max="11952" width="0" style="1" hidden="1" customWidth="1"/>
    <col min="11953" max="11953" width="13.7109375" style="1" customWidth="1"/>
    <col min="11954" max="11954" width="52.85546875" style="1" customWidth="1"/>
    <col min="11955" max="11994" width="0" style="1" hidden="1" customWidth="1"/>
    <col min="11995" max="11996" width="14.85546875" style="1" customWidth="1"/>
    <col min="11997" max="11998" width="0" style="1" hidden="1" customWidth="1"/>
    <col min="11999" max="11999" width="14.85546875" style="1" customWidth="1"/>
    <col min="12000" max="12001" width="0" style="1" hidden="1" customWidth="1"/>
    <col min="12002" max="12002" width="14.85546875" style="1" customWidth="1"/>
    <col min="12003" max="12004" width="0" style="1" hidden="1" customWidth="1"/>
    <col min="12005" max="12005" width="14.85546875" style="1" customWidth="1"/>
    <col min="12006" max="12007" width="0" style="1" hidden="1" customWidth="1"/>
    <col min="12008" max="12008" width="14.85546875" style="1" customWidth="1"/>
    <col min="12009" max="12010" width="0" style="1" hidden="1" customWidth="1"/>
    <col min="12011" max="12012" width="14.85546875" style="1" customWidth="1"/>
    <col min="12013" max="12013" width="44.42578125" style="1" customWidth="1"/>
    <col min="12014" max="12018" width="14.85546875" style="1" customWidth="1"/>
    <col min="12019" max="12019" width="63.85546875" style="1" customWidth="1"/>
    <col min="12020" max="12020" width="13.28515625" style="1" customWidth="1"/>
    <col min="12021" max="12206" width="9" style="1"/>
    <col min="12207" max="12208" width="0" style="1" hidden="1" customWidth="1"/>
    <col min="12209" max="12209" width="13.7109375" style="1" customWidth="1"/>
    <col min="12210" max="12210" width="52.85546875" style="1" customWidth="1"/>
    <col min="12211" max="12250" width="0" style="1" hidden="1" customWidth="1"/>
    <col min="12251" max="12252" width="14.85546875" style="1" customWidth="1"/>
    <col min="12253" max="12254" width="0" style="1" hidden="1" customWidth="1"/>
    <col min="12255" max="12255" width="14.85546875" style="1" customWidth="1"/>
    <col min="12256" max="12257" width="0" style="1" hidden="1" customWidth="1"/>
    <col min="12258" max="12258" width="14.85546875" style="1" customWidth="1"/>
    <col min="12259" max="12260" width="0" style="1" hidden="1" customWidth="1"/>
    <col min="12261" max="12261" width="14.85546875" style="1" customWidth="1"/>
    <col min="12262" max="12263" width="0" style="1" hidden="1" customWidth="1"/>
    <col min="12264" max="12264" width="14.85546875" style="1" customWidth="1"/>
    <col min="12265" max="12266" width="0" style="1" hidden="1" customWidth="1"/>
    <col min="12267" max="12268" width="14.85546875" style="1" customWidth="1"/>
    <col min="12269" max="12269" width="44.42578125" style="1" customWidth="1"/>
    <col min="12270" max="12274" width="14.85546875" style="1" customWidth="1"/>
    <col min="12275" max="12275" width="63.85546875" style="1" customWidth="1"/>
    <col min="12276" max="12276" width="13.28515625" style="1" customWidth="1"/>
    <col min="12277" max="12462" width="9" style="1"/>
    <col min="12463" max="12464" width="0" style="1" hidden="1" customWidth="1"/>
    <col min="12465" max="12465" width="13.7109375" style="1" customWidth="1"/>
    <col min="12466" max="12466" width="52.85546875" style="1" customWidth="1"/>
    <col min="12467" max="12506" width="0" style="1" hidden="1" customWidth="1"/>
    <col min="12507" max="12508" width="14.85546875" style="1" customWidth="1"/>
    <col min="12509" max="12510" width="0" style="1" hidden="1" customWidth="1"/>
    <col min="12511" max="12511" width="14.85546875" style="1" customWidth="1"/>
    <col min="12512" max="12513" width="0" style="1" hidden="1" customWidth="1"/>
    <col min="12514" max="12514" width="14.85546875" style="1" customWidth="1"/>
    <col min="12515" max="12516" width="0" style="1" hidden="1" customWidth="1"/>
    <col min="12517" max="12517" width="14.85546875" style="1" customWidth="1"/>
    <col min="12518" max="12519" width="0" style="1" hidden="1" customWidth="1"/>
    <col min="12520" max="12520" width="14.85546875" style="1" customWidth="1"/>
    <col min="12521" max="12522" width="0" style="1" hidden="1" customWidth="1"/>
    <col min="12523" max="12524" width="14.85546875" style="1" customWidth="1"/>
    <col min="12525" max="12525" width="44.42578125" style="1" customWidth="1"/>
    <col min="12526" max="12530" width="14.85546875" style="1" customWidth="1"/>
    <col min="12531" max="12531" width="63.85546875" style="1" customWidth="1"/>
    <col min="12532" max="12532" width="13.28515625" style="1" customWidth="1"/>
    <col min="12533" max="12718" width="9" style="1"/>
    <col min="12719" max="12720" width="0" style="1" hidden="1" customWidth="1"/>
    <col min="12721" max="12721" width="13.7109375" style="1" customWidth="1"/>
    <col min="12722" max="12722" width="52.85546875" style="1" customWidth="1"/>
    <col min="12723" max="12762" width="0" style="1" hidden="1" customWidth="1"/>
    <col min="12763" max="12764" width="14.85546875" style="1" customWidth="1"/>
    <col min="12765" max="12766" width="0" style="1" hidden="1" customWidth="1"/>
    <col min="12767" max="12767" width="14.85546875" style="1" customWidth="1"/>
    <col min="12768" max="12769" width="0" style="1" hidden="1" customWidth="1"/>
    <col min="12770" max="12770" width="14.85546875" style="1" customWidth="1"/>
    <col min="12771" max="12772" width="0" style="1" hidden="1" customWidth="1"/>
    <col min="12773" max="12773" width="14.85546875" style="1" customWidth="1"/>
    <col min="12774" max="12775" width="0" style="1" hidden="1" customWidth="1"/>
    <col min="12776" max="12776" width="14.85546875" style="1" customWidth="1"/>
    <col min="12777" max="12778" width="0" style="1" hidden="1" customWidth="1"/>
    <col min="12779" max="12780" width="14.85546875" style="1" customWidth="1"/>
    <col min="12781" max="12781" width="44.42578125" style="1" customWidth="1"/>
    <col min="12782" max="12786" width="14.85546875" style="1" customWidth="1"/>
    <col min="12787" max="12787" width="63.85546875" style="1" customWidth="1"/>
    <col min="12788" max="12788" width="13.28515625" style="1" customWidth="1"/>
    <col min="12789" max="12974" width="9" style="1"/>
    <col min="12975" max="12976" width="0" style="1" hidden="1" customWidth="1"/>
    <col min="12977" max="12977" width="13.7109375" style="1" customWidth="1"/>
    <col min="12978" max="12978" width="52.85546875" style="1" customWidth="1"/>
    <col min="12979" max="13018" width="0" style="1" hidden="1" customWidth="1"/>
    <col min="13019" max="13020" width="14.85546875" style="1" customWidth="1"/>
    <col min="13021" max="13022" width="0" style="1" hidden="1" customWidth="1"/>
    <col min="13023" max="13023" width="14.85546875" style="1" customWidth="1"/>
    <col min="13024" max="13025" width="0" style="1" hidden="1" customWidth="1"/>
    <col min="13026" max="13026" width="14.85546875" style="1" customWidth="1"/>
    <col min="13027" max="13028" width="0" style="1" hidden="1" customWidth="1"/>
    <col min="13029" max="13029" width="14.85546875" style="1" customWidth="1"/>
    <col min="13030" max="13031" width="0" style="1" hidden="1" customWidth="1"/>
    <col min="13032" max="13032" width="14.85546875" style="1" customWidth="1"/>
    <col min="13033" max="13034" width="0" style="1" hidden="1" customWidth="1"/>
    <col min="13035" max="13036" width="14.85546875" style="1" customWidth="1"/>
    <col min="13037" max="13037" width="44.42578125" style="1" customWidth="1"/>
    <col min="13038" max="13042" width="14.85546875" style="1" customWidth="1"/>
    <col min="13043" max="13043" width="63.85546875" style="1" customWidth="1"/>
    <col min="13044" max="13044" width="13.28515625" style="1" customWidth="1"/>
    <col min="13045" max="13230" width="9" style="1"/>
    <col min="13231" max="13232" width="0" style="1" hidden="1" customWidth="1"/>
    <col min="13233" max="13233" width="13.7109375" style="1" customWidth="1"/>
    <col min="13234" max="13234" width="52.85546875" style="1" customWidth="1"/>
    <col min="13235" max="13274" width="0" style="1" hidden="1" customWidth="1"/>
    <col min="13275" max="13276" width="14.85546875" style="1" customWidth="1"/>
    <col min="13277" max="13278" width="0" style="1" hidden="1" customWidth="1"/>
    <col min="13279" max="13279" width="14.85546875" style="1" customWidth="1"/>
    <col min="13280" max="13281" width="0" style="1" hidden="1" customWidth="1"/>
    <col min="13282" max="13282" width="14.85546875" style="1" customWidth="1"/>
    <col min="13283" max="13284" width="0" style="1" hidden="1" customWidth="1"/>
    <col min="13285" max="13285" width="14.85546875" style="1" customWidth="1"/>
    <col min="13286" max="13287" width="0" style="1" hidden="1" customWidth="1"/>
    <col min="13288" max="13288" width="14.85546875" style="1" customWidth="1"/>
    <col min="13289" max="13290" width="0" style="1" hidden="1" customWidth="1"/>
    <col min="13291" max="13292" width="14.85546875" style="1" customWidth="1"/>
    <col min="13293" max="13293" width="44.42578125" style="1" customWidth="1"/>
    <col min="13294" max="13298" width="14.85546875" style="1" customWidth="1"/>
    <col min="13299" max="13299" width="63.85546875" style="1" customWidth="1"/>
    <col min="13300" max="13300" width="13.28515625" style="1" customWidth="1"/>
    <col min="13301" max="13486" width="9" style="1"/>
    <col min="13487" max="13488" width="0" style="1" hidden="1" customWidth="1"/>
    <col min="13489" max="13489" width="13.7109375" style="1" customWidth="1"/>
    <col min="13490" max="13490" width="52.85546875" style="1" customWidth="1"/>
    <col min="13491" max="13530" width="0" style="1" hidden="1" customWidth="1"/>
    <col min="13531" max="13532" width="14.85546875" style="1" customWidth="1"/>
    <col min="13533" max="13534" width="0" style="1" hidden="1" customWidth="1"/>
    <col min="13535" max="13535" width="14.85546875" style="1" customWidth="1"/>
    <col min="13536" max="13537" width="0" style="1" hidden="1" customWidth="1"/>
    <col min="13538" max="13538" width="14.85546875" style="1" customWidth="1"/>
    <col min="13539" max="13540" width="0" style="1" hidden="1" customWidth="1"/>
    <col min="13541" max="13541" width="14.85546875" style="1" customWidth="1"/>
    <col min="13542" max="13543" width="0" style="1" hidden="1" customWidth="1"/>
    <col min="13544" max="13544" width="14.85546875" style="1" customWidth="1"/>
    <col min="13545" max="13546" width="0" style="1" hidden="1" customWidth="1"/>
    <col min="13547" max="13548" width="14.85546875" style="1" customWidth="1"/>
    <col min="13549" max="13549" width="44.42578125" style="1" customWidth="1"/>
    <col min="13550" max="13554" width="14.85546875" style="1" customWidth="1"/>
    <col min="13555" max="13555" width="63.85546875" style="1" customWidth="1"/>
    <col min="13556" max="13556" width="13.28515625" style="1" customWidth="1"/>
    <col min="13557" max="13742" width="9" style="1"/>
    <col min="13743" max="13744" width="0" style="1" hidden="1" customWidth="1"/>
    <col min="13745" max="13745" width="13.7109375" style="1" customWidth="1"/>
    <col min="13746" max="13746" width="52.85546875" style="1" customWidth="1"/>
    <col min="13747" max="13786" width="0" style="1" hidden="1" customWidth="1"/>
    <col min="13787" max="13788" width="14.85546875" style="1" customWidth="1"/>
    <col min="13789" max="13790" width="0" style="1" hidden="1" customWidth="1"/>
    <col min="13791" max="13791" width="14.85546875" style="1" customWidth="1"/>
    <col min="13792" max="13793" width="0" style="1" hidden="1" customWidth="1"/>
    <col min="13794" max="13794" width="14.85546875" style="1" customWidth="1"/>
    <col min="13795" max="13796" width="0" style="1" hidden="1" customWidth="1"/>
    <col min="13797" max="13797" width="14.85546875" style="1" customWidth="1"/>
    <col min="13798" max="13799" width="0" style="1" hidden="1" customWidth="1"/>
    <col min="13800" max="13800" width="14.85546875" style="1" customWidth="1"/>
    <col min="13801" max="13802" width="0" style="1" hidden="1" customWidth="1"/>
    <col min="13803" max="13804" width="14.85546875" style="1" customWidth="1"/>
    <col min="13805" max="13805" width="44.42578125" style="1" customWidth="1"/>
    <col min="13806" max="13810" width="14.85546875" style="1" customWidth="1"/>
    <col min="13811" max="13811" width="63.85546875" style="1" customWidth="1"/>
    <col min="13812" max="13812" width="13.28515625" style="1" customWidth="1"/>
    <col min="13813" max="13998" width="9" style="1"/>
    <col min="13999" max="14000" width="0" style="1" hidden="1" customWidth="1"/>
    <col min="14001" max="14001" width="13.7109375" style="1" customWidth="1"/>
    <col min="14002" max="14002" width="52.85546875" style="1" customWidth="1"/>
    <col min="14003" max="14042" width="0" style="1" hidden="1" customWidth="1"/>
    <col min="14043" max="14044" width="14.85546875" style="1" customWidth="1"/>
    <col min="14045" max="14046" width="0" style="1" hidden="1" customWidth="1"/>
    <col min="14047" max="14047" width="14.85546875" style="1" customWidth="1"/>
    <col min="14048" max="14049" width="0" style="1" hidden="1" customWidth="1"/>
    <col min="14050" max="14050" width="14.85546875" style="1" customWidth="1"/>
    <col min="14051" max="14052" width="0" style="1" hidden="1" customWidth="1"/>
    <col min="14053" max="14053" width="14.85546875" style="1" customWidth="1"/>
    <col min="14054" max="14055" width="0" style="1" hidden="1" customWidth="1"/>
    <col min="14056" max="14056" width="14.85546875" style="1" customWidth="1"/>
    <col min="14057" max="14058" width="0" style="1" hidden="1" customWidth="1"/>
    <col min="14059" max="14060" width="14.85546875" style="1" customWidth="1"/>
    <col min="14061" max="14061" width="44.42578125" style="1" customWidth="1"/>
    <col min="14062" max="14066" width="14.85546875" style="1" customWidth="1"/>
    <col min="14067" max="14067" width="63.85546875" style="1" customWidth="1"/>
    <col min="14068" max="14068" width="13.28515625" style="1" customWidth="1"/>
    <col min="14069" max="14254" width="9" style="1"/>
    <col min="14255" max="14256" width="0" style="1" hidden="1" customWidth="1"/>
    <col min="14257" max="14257" width="13.7109375" style="1" customWidth="1"/>
    <col min="14258" max="14258" width="52.85546875" style="1" customWidth="1"/>
    <col min="14259" max="14298" width="0" style="1" hidden="1" customWidth="1"/>
    <col min="14299" max="14300" width="14.85546875" style="1" customWidth="1"/>
    <col min="14301" max="14302" width="0" style="1" hidden="1" customWidth="1"/>
    <col min="14303" max="14303" width="14.85546875" style="1" customWidth="1"/>
    <col min="14304" max="14305" width="0" style="1" hidden="1" customWidth="1"/>
    <col min="14306" max="14306" width="14.85546875" style="1" customWidth="1"/>
    <col min="14307" max="14308" width="0" style="1" hidden="1" customWidth="1"/>
    <col min="14309" max="14309" width="14.85546875" style="1" customWidth="1"/>
    <col min="14310" max="14311" width="0" style="1" hidden="1" customWidth="1"/>
    <col min="14312" max="14312" width="14.85546875" style="1" customWidth="1"/>
    <col min="14313" max="14314" width="0" style="1" hidden="1" customWidth="1"/>
    <col min="14315" max="14316" width="14.85546875" style="1" customWidth="1"/>
    <col min="14317" max="14317" width="44.42578125" style="1" customWidth="1"/>
    <col min="14318" max="14322" width="14.85546875" style="1" customWidth="1"/>
    <col min="14323" max="14323" width="63.85546875" style="1" customWidth="1"/>
    <col min="14324" max="14324" width="13.28515625" style="1" customWidth="1"/>
    <col min="14325" max="14510" width="9" style="1"/>
    <col min="14511" max="14512" width="0" style="1" hidden="1" customWidth="1"/>
    <col min="14513" max="14513" width="13.7109375" style="1" customWidth="1"/>
    <col min="14514" max="14514" width="52.85546875" style="1" customWidth="1"/>
    <col min="14515" max="14554" width="0" style="1" hidden="1" customWidth="1"/>
    <col min="14555" max="14556" width="14.85546875" style="1" customWidth="1"/>
    <col min="14557" max="14558" width="0" style="1" hidden="1" customWidth="1"/>
    <col min="14559" max="14559" width="14.85546875" style="1" customWidth="1"/>
    <col min="14560" max="14561" width="0" style="1" hidden="1" customWidth="1"/>
    <col min="14562" max="14562" width="14.85546875" style="1" customWidth="1"/>
    <col min="14563" max="14564" width="0" style="1" hidden="1" customWidth="1"/>
    <col min="14565" max="14565" width="14.85546875" style="1" customWidth="1"/>
    <col min="14566" max="14567" width="0" style="1" hidden="1" customWidth="1"/>
    <col min="14568" max="14568" width="14.85546875" style="1" customWidth="1"/>
    <col min="14569" max="14570" width="0" style="1" hidden="1" customWidth="1"/>
    <col min="14571" max="14572" width="14.85546875" style="1" customWidth="1"/>
    <col min="14573" max="14573" width="44.42578125" style="1" customWidth="1"/>
    <col min="14574" max="14578" width="14.85546875" style="1" customWidth="1"/>
    <col min="14579" max="14579" width="63.85546875" style="1" customWidth="1"/>
    <col min="14580" max="14580" width="13.28515625" style="1" customWidth="1"/>
    <col min="14581" max="14766" width="9" style="1"/>
    <col min="14767" max="14768" width="0" style="1" hidden="1" customWidth="1"/>
    <col min="14769" max="14769" width="13.7109375" style="1" customWidth="1"/>
    <col min="14770" max="14770" width="52.85546875" style="1" customWidth="1"/>
    <col min="14771" max="14810" width="0" style="1" hidden="1" customWidth="1"/>
    <col min="14811" max="14812" width="14.85546875" style="1" customWidth="1"/>
    <col min="14813" max="14814" width="0" style="1" hidden="1" customWidth="1"/>
    <col min="14815" max="14815" width="14.85546875" style="1" customWidth="1"/>
    <col min="14816" max="14817" width="0" style="1" hidden="1" customWidth="1"/>
    <col min="14818" max="14818" width="14.85546875" style="1" customWidth="1"/>
    <col min="14819" max="14820" width="0" style="1" hidden="1" customWidth="1"/>
    <col min="14821" max="14821" width="14.85546875" style="1" customWidth="1"/>
    <col min="14822" max="14823" width="0" style="1" hidden="1" customWidth="1"/>
    <col min="14824" max="14824" width="14.85546875" style="1" customWidth="1"/>
    <col min="14825" max="14826" width="0" style="1" hidden="1" customWidth="1"/>
    <col min="14827" max="14828" width="14.85546875" style="1" customWidth="1"/>
    <col min="14829" max="14829" width="44.42578125" style="1" customWidth="1"/>
    <col min="14830" max="14834" width="14.85546875" style="1" customWidth="1"/>
    <col min="14835" max="14835" width="63.85546875" style="1" customWidth="1"/>
    <col min="14836" max="14836" width="13.28515625" style="1" customWidth="1"/>
    <col min="14837" max="15022" width="9" style="1"/>
    <col min="15023" max="15024" width="0" style="1" hidden="1" customWidth="1"/>
    <col min="15025" max="15025" width="13.7109375" style="1" customWidth="1"/>
    <col min="15026" max="15026" width="52.85546875" style="1" customWidth="1"/>
    <col min="15027" max="15066" width="0" style="1" hidden="1" customWidth="1"/>
    <col min="15067" max="15068" width="14.85546875" style="1" customWidth="1"/>
    <col min="15069" max="15070" width="0" style="1" hidden="1" customWidth="1"/>
    <col min="15071" max="15071" width="14.85546875" style="1" customWidth="1"/>
    <col min="15072" max="15073" width="0" style="1" hidden="1" customWidth="1"/>
    <col min="15074" max="15074" width="14.85546875" style="1" customWidth="1"/>
    <col min="15075" max="15076" width="0" style="1" hidden="1" customWidth="1"/>
    <col min="15077" max="15077" width="14.85546875" style="1" customWidth="1"/>
    <col min="15078" max="15079" width="0" style="1" hidden="1" customWidth="1"/>
    <col min="15080" max="15080" width="14.85546875" style="1" customWidth="1"/>
    <col min="15081" max="15082" width="0" style="1" hidden="1" customWidth="1"/>
    <col min="15083" max="15084" width="14.85546875" style="1" customWidth="1"/>
    <col min="15085" max="15085" width="44.42578125" style="1" customWidth="1"/>
    <col min="15086" max="15090" width="14.85546875" style="1" customWidth="1"/>
    <col min="15091" max="15091" width="63.85546875" style="1" customWidth="1"/>
    <col min="15092" max="15092" width="13.28515625" style="1" customWidth="1"/>
    <col min="15093" max="15278" width="9" style="1"/>
    <col min="15279" max="15280" width="0" style="1" hidden="1" customWidth="1"/>
    <col min="15281" max="15281" width="13.7109375" style="1" customWidth="1"/>
    <col min="15282" max="15282" width="52.85546875" style="1" customWidth="1"/>
    <col min="15283" max="15322" width="0" style="1" hidden="1" customWidth="1"/>
    <col min="15323" max="15324" width="14.85546875" style="1" customWidth="1"/>
    <col min="15325" max="15326" width="0" style="1" hidden="1" customWidth="1"/>
    <col min="15327" max="15327" width="14.85546875" style="1" customWidth="1"/>
    <col min="15328" max="15329" width="0" style="1" hidden="1" customWidth="1"/>
    <col min="15330" max="15330" width="14.85546875" style="1" customWidth="1"/>
    <col min="15331" max="15332" width="0" style="1" hidden="1" customWidth="1"/>
    <col min="15333" max="15333" width="14.85546875" style="1" customWidth="1"/>
    <col min="15334" max="15335" width="0" style="1" hidden="1" customWidth="1"/>
    <col min="15336" max="15336" width="14.85546875" style="1" customWidth="1"/>
    <col min="15337" max="15338" width="0" style="1" hidden="1" customWidth="1"/>
    <col min="15339" max="15340" width="14.85546875" style="1" customWidth="1"/>
    <col min="15341" max="15341" width="44.42578125" style="1" customWidth="1"/>
    <col min="15342" max="15346" width="14.85546875" style="1" customWidth="1"/>
    <col min="15347" max="15347" width="63.85546875" style="1" customWidth="1"/>
    <col min="15348" max="15348" width="13.28515625" style="1" customWidth="1"/>
    <col min="15349" max="15534" width="9" style="1"/>
    <col min="15535" max="15536" width="0" style="1" hidden="1" customWidth="1"/>
    <col min="15537" max="15537" width="13.7109375" style="1" customWidth="1"/>
    <col min="15538" max="15538" width="52.85546875" style="1" customWidth="1"/>
    <col min="15539" max="15578" width="0" style="1" hidden="1" customWidth="1"/>
    <col min="15579" max="15580" width="14.85546875" style="1" customWidth="1"/>
    <col min="15581" max="15582" width="0" style="1" hidden="1" customWidth="1"/>
    <col min="15583" max="15583" width="14.85546875" style="1" customWidth="1"/>
    <col min="15584" max="15585" width="0" style="1" hidden="1" customWidth="1"/>
    <col min="15586" max="15586" width="14.85546875" style="1" customWidth="1"/>
    <col min="15587" max="15588" width="0" style="1" hidden="1" customWidth="1"/>
    <col min="15589" max="15589" width="14.85546875" style="1" customWidth="1"/>
    <col min="15590" max="15591" width="0" style="1" hidden="1" customWidth="1"/>
    <col min="15592" max="15592" width="14.85546875" style="1" customWidth="1"/>
    <col min="15593" max="15594" width="0" style="1" hidden="1" customWidth="1"/>
    <col min="15595" max="15596" width="14.85546875" style="1" customWidth="1"/>
    <col min="15597" max="15597" width="44.42578125" style="1" customWidth="1"/>
    <col min="15598" max="15602" width="14.85546875" style="1" customWidth="1"/>
    <col min="15603" max="15603" width="63.85546875" style="1" customWidth="1"/>
    <col min="15604" max="15604" width="13.28515625" style="1" customWidth="1"/>
    <col min="15605" max="15790" width="9" style="1"/>
    <col min="15791" max="15792" width="0" style="1" hidden="1" customWidth="1"/>
    <col min="15793" max="15793" width="13.7109375" style="1" customWidth="1"/>
    <col min="15794" max="15794" width="52.85546875" style="1" customWidth="1"/>
    <col min="15795" max="15834" width="0" style="1" hidden="1" customWidth="1"/>
    <col min="15835" max="15836" width="14.85546875" style="1" customWidth="1"/>
    <col min="15837" max="15838" width="0" style="1" hidden="1" customWidth="1"/>
    <col min="15839" max="15839" width="14.85546875" style="1" customWidth="1"/>
    <col min="15840" max="15841" width="0" style="1" hidden="1" customWidth="1"/>
    <col min="15842" max="15842" width="14.85546875" style="1" customWidth="1"/>
    <col min="15843" max="15844" width="0" style="1" hidden="1" customWidth="1"/>
    <col min="15845" max="15845" width="14.85546875" style="1" customWidth="1"/>
    <col min="15846" max="15847" width="0" style="1" hidden="1" customWidth="1"/>
    <col min="15848" max="15848" width="14.85546875" style="1" customWidth="1"/>
    <col min="15849" max="15850" width="0" style="1" hidden="1" customWidth="1"/>
    <col min="15851" max="15852" width="14.85546875" style="1" customWidth="1"/>
    <col min="15853" max="15853" width="44.42578125" style="1" customWidth="1"/>
    <col min="15854" max="15858" width="14.85546875" style="1" customWidth="1"/>
    <col min="15859" max="15859" width="63.85546875" style="1" customWidth="1"/>
    <col min="15860" max="15860" width="13.28515625" style="1" customWidth="1"/>
    <col min="15861" max="16046" width="9" style="1"/>
    <col min="16047" max="16048" width="0" style="1" hidden="1" customWidth="1"/>
    <col min="16049" max="16049" width="13.7109375" style="1" customWidth="1"/>
    <col min="16050" max="16050" width="52.85546875" style="1" customWidth="1"/>
    <col min="16051" max="16090" width="0" style="1" hidden="1" customWidth="1"/>
    <col min="16091" max="16092" width="14.85546875" style="1" customWidth="1"/>
    <col min="16093" max="16094" width="0" style="1" hidden="1" customWidth="1"/>
    <col min="16095" max="16095" width="14.85546875" style="1" customWidth="1"/>
    <col min="16096" max="16097" width="0" style="1" hidden="1" customWidth="1"/>
    <col min="16098" max="16098" width="14.85546875" style="1" customWidth="1"/>
    <col min="16099" max="16100" width="0" style="1" hidden="1" customWidth="1"/>
    <col min="16101" max="16101" width="14.85546875" style="1" customWidth="1"/>
    <col min="16102" max="16103" width="0" style="1" hidden="1" customWidth="1"/>
    <col min="16104" max="16104" width="14.85546875" style="1" customWidth="1"/>
    <col min="16105" max="16106" width="0" style="1" hidden="1" customWidth="1"/>
    <col min="16107" max="16108" width="14.85546875" style="1" customWidth="1"/>
    <col min="16109" max="16109" width="44.42578125" style="1" customWidth="1"/>
    <col min="16110" max="16114" width="14.85546875" style="1" customWidth="1"/>
    <col min="16115" max="16115" width="63.85546875" style="1" customWidth="1"/>
    <col min="16116" max="16116" width="13.28515625" style="1" customWidth="1"/>
    <col min="16117" max="16315" width="9" style="1"/>
    <col min="16316" max="16348" width="9.140625" style="1" customWidth="1"/>
    <col min="16349" max="16384" width="9" style="1"/>
  </cols>
  <sheetData>
    <row r="1" spans="1:14" ht="25.5" outlineLevel="1" x14ac:dyDescent="0.35">
      <c r="C1" s="2" t="s">
        <v>0</v>
      </c>
      <c r="D1" s="2"/>
      <c r="E1" s="5"/>
      <c r="F1" s="5"/>
      <c r="G1" s="3"/>
      <c r="H1" s="6"/>
      <c r="I1" s="3"/>
      <c r="J1" s="3"/>
      <c r="K1" s="6"/>
      <c r="L1" s="3"/>
      <c r="M1" s="3"/>
      <c r="N1" s="6"/>
    </row>
    <row r="2" spans="1:14" ht="25.5" outlineLevel="1" x14ac:dyDescent="0.35">
      <c r="C2" s="661" t="s">
        <v>1</v>
      </c>
      <c r="D2" s="661"/>
      <c r="G2" s="4"/>
      <c r="H2" s="8"/>
      <c r="I2" s="4"/>
      <c r="J2" s="4"/>
      <c r="K2" s="8"/>
      <c r="L2" s="4"/>
      <c r="M2" s="4"/>
      <c r="N2" s="8"/>
    </row>
    <row r="3" spans="1:14" ht="20.25" outlineLevel="1" x14ac:dyDescent="0.3">
      <c r="C3" s="657" t="s">
        <v>2</v>
      </c>
      <c r="D3" s="657"/>
      <c r="E3" s="10"/>
      <c r="F3" s="10"/>
      <c r="G3" s="9"/>
      <c r="I3" s="9"/>
      <c r="J3" s="9"/>
      <c r="L3" s="9"/>
      <c r="M3" s="9"/>
    </row>
    <row r="4" spans="1:14" ht="15.75" outlineLevel="1" thickBot="1" x14ac:dyDescent="0.3">
      <c r="C4" s="12"/>
      <c r="E4" s="10"/>
      <c r="F4" s="10"/>
      <c r="G4" s="11"/>
      <c r="I4" s="10"/>
      <c r="J4" s="11"/>
      <c r="L4" s="10"/>
      <c r="M4" s="11"/>
    </row>
    <row r="5" spans="1:14" ht="51.6" customHeight="1" thickBot="1" x14ac:dyDescent="0.3">
      <c r="C5" s="13" t="s">
        <v>3</v>
      </c>
      <c r="D5" s="14" t="s">
        <v>4</v>
      </c>
      <c r="E5" s="16" t="s">
        <v>6</v>
      </c>
      <c r="F5" s="16" t="s">
        <v>7</v>
      </c>
      <c r="G5" s="15" t="s">
        <v>8</v>
      </c>
      <c r="H5" s="17" t="s">
        <v>9</v>
      </c>
      <c r="I5" s="15" t="s">
        <v>10</v>
      </c>
      <c r="J5" s="15" t="s">
        <v>11</v>
      </c>
      <c r="K5" s="17" t="s">
        <v>9</v>
      </c>
      <c r="L5" s="15" t="s">
        <v>12</v>
      </c>
      <c r="M5" s="15" t="s">
        <v>13</v>
      </c>
      <c r="N5" s="17" t="s">
        <v>9</v>
      </c>
    </row>
    <row r="6" spans="1:14" x14ac:dyDescent="0.25">
      <c r="C6" s="18" t="s">
        <v>14</v>
      </c>
      <c r="D6" s="19" t="s">
        <v>15</v>
      </c>
      <c r="E6" s="20">
        <v>31414871</v>
      </c>
      <c r="F6" s="20">
        <f t="shared" ref="F6" si="0">ROUND((F7+F11+F14+F17+F20),0)</f>
        <v>31414871</v>
      </c>
      <c r="G6" s="21">
        <f>F6-E6</f>
        <v>0</v>
      </c>
      <c r="H6" s="22"/>
      <c r="I6" s="20">
        <f t="shared" ref="I6" si="1">ROUND((I7+I11+I14+I17+I20),0)</f>
        <v>31582267</v>
      </c>
      <c r="J6" s="21">
        <f t="shared" ref="J6:J7" si="2">I6-F6</f>
        <v>167396</v>
      </c>
      <c r="K6" s="22"/>
      <c r="L6" s="20">
        <f t="shared" ref="L6" si="3">ROUND((L7+L11+L14+L17+L20),0)</f>
        <v>31582267</v>
      </c>
      <c r="M6" s="21">
        <f t="shared" ref="M6:M7" si="4">L6-I6</f>
        <v>0</v>
      </c>
      <c r="N6" s="22"/>
    </row>
    <row r="7" spans="1:14" x14ac:dyDescent="0.25">
      <c r="B7" s="1" t="s">
        <v>16</v>
      </c>
      <c r="C7" s="23" t="s">
        <v>17</v>
      </c>
      <c r="D7" s="24" t="s">
        <v>18</v>
      </c>
      <c r="E7" s="26">
        <v>28441559</v>
      </c>
      <c r="F7" s="26">
        <f>SUM(F8:F9)</f>
        <v>28441559</v>
      </c>
      <c r="G7" s="25">
        <f t="shared" ref="G7:G71" si="5">F7-E7</f>
        <v>0</v>
      </c>
      <c r="H7" s="27"/>
      <c r="I7" s="25">
        <f>SUM(I8:I9)</f>
        <v>28608955</v>
      </c>
      <c r="J7" s="25">
        <f t="shared" si="2"/>
        <v>167396</v>
      </c>
      <c r="K7" s="27"/>
      <c r="L7" s="25">
        <f>SUM(L8:L9)</f>
        <v>28608955</v>
      </c>
      <c r="M7" s="25">
        <f t="shared" si="4"/>
        <v>0</v>
      </c>
      <c r="N7" s="27"/>
    </row>
    <row r="8" spans="1:14" x14ac:dyDescent="0.25">
      <c r="A8" s="1" t="s">
        <v>19</v>
      </c>
      <c r="B8" s="28" t="s">
        <v>20</v>
      </c>
      <c r="C8" s="29" t="s">
        <v>21</v>
      </c>
      <c r="D8" s="30" t="s">
        <v>22</v>
      </c>
      <c r="E8" s="32">
        <v>28441559</v>
      </c>
      <c r="F8" s="32">
        <f>ROUND(E8,0)</f>
        <v>28441559</v>
      </c>
      <c r="G8" s="31">
        <f t="shared" si="5"/>
        <v>0</v>
      </c>
      <c r="H8" s="33"/>
      <c r="I8" s="31">
        <f>ROUND(F8,0)+167396</f>
        <v>28608955</v>
      </c>
      <c r="J8" s="31">
        <f>I8-F8</f>
        <v>167396</v>
      </c>
      <c r="K8" s="33" t="s">
        <v>23</v>
      </c>
      <c r="L8" s="31">
        <f>ROUND(I8,0)</f>
        <v>28608955</v>
      </c>
      <c r="M8" s="31">
        <f>L8-I8</f>
        <v>0</v>
      </c>
      <c r="N8" s="33"/>
    </row>
    <row r="9" spans="1:14" ht="27.75" hidden="1" customHeight="1" outlineLevel="1" x14ac:dyDescent="0.25">
      <c r="B9" s="28"/>
      <c r="C9" s="29" t="s">
        <v>24</v>
      </c>
      <c r="D9" s="30" t="s">
        <v>25</v>
      </c>
      <c r="E9" s="32">
        <v>0</v>
      </c>
      <c r="F9" s="32">
        <f>ROUND(E9,0)</f>
        <v>0</v>
      </c>
      <c r="G9" s="31">
        <f t="shared" si="5"/>
        <v>0</v>
      </c>
      <c r="H9" s="33"/>
      <c r="I9" s="31">
        <f>ROUND(H9,0)</f>
        <v>0</v>
      </c>
      <c r="J9" s="31">
        <f t="shared" ref="J9:J72" si="6">I9-F9</f>
        <v>0</v>
      </c>
      <c r="K9" s="33"/>
      <c r="L9" s="31">
        <f>ROUND(K9,0)</f>
        <v>0</v>
      </c>
      <c r="M9" s="31">
        <f t="shared" ref="M9:M72" si="7">L9-I9</f>
        <v>0</v>
      </c>
      <c r="N9" s="33"/>
    </row>
    <row r="10" spans="1:14" ht="15.75" customHeight="1" collapsed="1" x14ac:dyDescent="0.25">
      <c r="C10" s="18" t="s">
        <v>26</v>
      </c>
      <c r="D10" s="19" t="s">
        <v>27</v>
      </c>
      <c r="E10" s="20">
        <v>2903312</v>
      </c>
      <c r="F10" s="20">
        <f>F11+F14+F17</f>
        <v>2903312</v>
      </c>
      <c r="G10" s="21">
        <f t="shared" si="5"/>
        <v>0</v>
      </c>
      <c r="H10" s="22"/>
      <c r="I10" s="20">
        <f>I11+I14+I17</f>
        <v>2903312</v>
      </c>
      <c r="J10" s="21">
        <f t="shared" si="6"/>
        <v>0</v>
      </c>
      <c r="K10" s="22"/>
      <c r="L10" s="20">
        <f>L11+L14+L17</f>
        <v>2903312</v>
      </c>
      <c r="M10" s="21">
        <f t="shared" si="7"/>
        <v>0</v>
      </c>
      <c r="N10" s="22"/>
    </row>
    <row r="11" spans="1:14" x14ac:dyDescent="0.25">
      <c r="B11" s="1" t="s">
        <v>28</v>
      </c>
      <c r="C11" s="35" t="s">
        <v>29</v>
      </c>
      <c r="D11" s="36" t="s">
        <v>30</v>
      </c>
      <c r="E11" s="38">
        <v>1998295</v>
      </c>
      <c r="F11" s="38">
        <f>SUM(F12:F13)</f>
        <v>1998295</v>
      </c>
      <c r="G11" s="37">
        <f t="shared" si="5"/>
        <v>0</v>
      </c>
      <c r="H11" s="39"/>
      <c r="I11" s="37">
        <f>SUM(I12:I13)</f>
        <v>1998295</v>
      </c>
      <c r="J11" s="37">
        <f t="shared" si="6"/>
        <v>0</v>
      </c>
      <c r="K11" s="39"/>
      <c r="L11" s="37">
        <f>SUM(L12:L13)</f>
        <v>1998295</v>
      </c>
      <c r="M11" s="37">
        <f t="shared" si="7"/>
        <v>0</v>
      </c>
      <c r="N11" s="39"/>
    </row>
    <row r="12" spans="1:14" x14ac:dyDescent="0.25">
      <c r="A12" s="1" t="s">
        <v>19</v>
      </c>
      <c r="B12" s="28" t="s">
        <v>31</v>
      </c>
      <c r="C12" s="29" t="s">
        <v>32</v>
      </c>
      <c r="D12" s="30" t="s">
        <v>22</v>
      </c>
      <c r="E12" s="32">
        <v>1807872</v>
      </c>
      <c r="F12" s="32">
        <f>ROUND(E12,0)</f>
        <v>1807872</v>
      </c>
      <c r="G12" s="31">
        <f t="shared" si="5"/>
        <v>0</v>
      </c>
      <c r="H12" s="40"/>
      <c r="I12" s="31">
        <f t="shared" ref="I12:I13" si="8">ROUND(F12,0)</f>
        <v>1807872</v>
      </c>
      <c r="J12" s="31">
        <f t="shared" si="6"/>
        <v>0</v>
      </c>
      <c r="K12" s="40"/>
      <c r="L12" s="31">
        <f t="shared" ref="L12:L13" si="9">ROUND(I12,0)</f>
        <v>1807872</v>
      </c>
      <c r="M12" s="31">
        <f t="shared" si="7"/>
        <v>0</v>
      </c>
      <c r="N12" s="40"/>
    </row>
    <row r="13" spans="1:14" x14ac:dyDescent="0.25">
      <c r="A13" s="1" t="s">
        <v>19</v>
      </c>
      <c r="B13" s="28" t="s">
        <v>33</v>
      </c>
      <c r="C13" s="29" t="s">
        <v>34</v>
      </c>
      <c r="D13" s="30" t="s">
        <v>35</v>
      </c>
      <c r="E13" s="32">
        <v>190423</v>
      </c>
      <c r="F13" s="32">
        <f>ROUND(E13,0)</f>
        <v>190423</v>
      </c>
      <c r="G13" s="31">
        <f t="shared" si="5"/>
        <v>0</v>
      </c>
      <c r="H13" s="33"/>
      <c r="I13" s="31">
        <f t="shared" si="8"/>
        <v>190423</v>
      </c>
      <c r="J13" s="31">
        <f t="shared" si="6"/>
        <v>0</v>
      </c>
      <c r="K13" s="33"/>
      <c r="L13" s="31">
        <f t="shared" si="9"/>
        <v>190423</v>
      </c>
      <c r="M13" s="31">
        <f t="shared" si="7"/>
        <v>0</v>
      </c>
      <c r="N13" s="33"/>
    </row>
    <row r="14" spans="1:14" x14ac:dyDescent="0.25">
      <c r="B14" s="1" t="s">
        <v>36</v>
      </c>
      <c r="C14" s="35" t="s">
        <v>37</v>
      </c>
      <c r="D14" s="36" t="s">
        <v>38</v>
      </c>
      <c r="E14" s="38">
        <v>412472</v>
      </c>
      <c r="F14" s="38">
        <f>SUM(F15:F16)</f>
        <v>412472</v>
      </c>
      <c r="G14" s="37">
        <f t="shared" si="5"/>
        <v>0</v>
      </c>
      <c r="H14" s="39"/>
      <c r="I14" s="37">
        <f>SUM(I15:I16)</f>
        <v>412472</v>
      </c>
      <c r="J14" s="37">
        <f t="shared" si="6"/>
        <v>0</v>
      </c>
      <c r="K14" s="39"/>
      <c r="L14" s="37">
        <f>SUM(L15:L16)</f>
        <v>412472</v>
      </c>
      <c r="M14" s="37">
        <f t="shared" si="7"/>
        <v>0</v>
      </c>
      <c r="N14" s="39"/>
    </row>
    <row r="15" spans="1:14" x14ac:dyDescent="0.25">
      <c r="A15" s="1" t="s">
        <v>19</v>
      </c>
      <c r="B15" s="28" t="s">
        <v>39</v>
      </c>
      <c r="C15" s="29" t="s">
        <v>40</v>
      </c>
      <c r="D15" s="30" t="s">
        <v>41</v>
      </c>
      <c r="E15" s="32">
        <v>326353</v>
      </c>
      <c r="F15" s="32">
        <f>ROUND(E15,0)</f>
        <v>326353</v>
      </c>
      <c r="G15" s="31">
        <f t="shared" si="5"/>
        <v>0</v>
      </c>
      <c r="H15" s="41"/>
      <c r="I15" s="31">
        <f t="shared" ref="I15:I16" si="10">ROUND(F15,0)</f>
        <v>326353</v>
      </c>
      <c r="J15" s="31">
        <f t="shared" si="6"/>
        <v>0</v>
      </c>
      <c r="K15" s="41"/>
      <c r="L15" s="31">
        <f t="shared" ref="L15:L16" si="11">ROUND(I15,0)</f>
        <v>326353</v>
      </c>
      <c r="M15" s="31">
        <f t="shared" si="7"/>
        <v>0</v>
      </c>
      <c r="N15" s="41"/>
    </row>
    <row r="16" spans="1:14" x14ac:dyDescent="0.25">
      <c r="A16" s="1" t="s">
        <v>19</v>
      </c>
      <c r="B16" s="28" t="s">
        <v>42</v>
      </c>
      <c r="C16" s="29" t="s">
        <v>43</v>
      </c>
      <c r="D16" s="30" t="s">
        <v>35</v>
      </c>
      <c r="E16" s="32">
        <v>86119</v>
      </c>
      <c r="F16" s="32">
        <f>ROUND(E16,0)</f>
        <v>86119</v>
      </c>
      <c r="G16" s="31">
        <f t="shared" si="5"/>
        <v>0</v>
      </c>
      <c r="H16" s="33"/>
      <c r="I16" s="31">
        <f t="shared" si="10"/>
        <v>86119</v>
      </c>
      <c r="J16" s="31">
        <f t="shared" si="6"/>
        <v>0</v>
      </c>
      <c r="K16" s="33"/>
      <c r="L16" s="31">
        <f t="shared" si="11"/>
        <v>86119</v>
      </c>
      <c r="M16" s="31">
        <f t="shared" si="7"/>
        <v>0</v>
      </c>
      <c r="N16" s="33"/>
    </row>
    <row r="17" spans="1:14" ht="29.25" x14ac:dyDescent="0.25">
      <c r="B17" s="1" t="s">
        <v>44</v>
      </c>
      <c r="C17" s="35" t="s">
        <v>45</v>
      </c>
      <c r="D17" s="36" t="s">
        <v>46</v>
      </c>
      <c r="E17" s="38">
        <v>492545</v>
      </c>
      <c r="F17" s="38">
        <f>SUM(F18:F19)</f>
        <v>492545</v>
      </c>
      <c r="G17" s="37">
        <f t="shared" si="5"/>
        <v>0</v>
      </c>
      <c r="H17" s="39"/>
      <c r="I17" s="37">
        <f>SUM(I18:I19)</f>
        <v>492545</v>
      </c>
      <c r="J17" s="37">
        <f t="shared" si="6"/>
        <v>0</v>
      </c>
      <c r="K17" s="39"/>
      <c r="L17" s="37">
        <f>SUM(L18:L19)</f>
        <v>492545</v>
      </c>
      <c r="M17" s="37">
        <f t="shared" si="7"/>
        <v>0</v>
      </c>
      <c r="N17" s="39"/>
    </row>
    <row r="18" spans="1:14" ht="18.75" customHeight="1" x14ac:dyDescent="0.25">
      <c r="A18" s="1" t="s">
        <v>19</v>
      </c>
      <c r="B18" s="28" t="s">
        <v>47</v>
      </c>
      <c r="C18" s="29" t="s">
        <v>48</v>
      </c>
      <c r="D18" s="30" t="s">
        <v>41</v>
      </c>
      <c r="E18" s="32">
        <v>431787</v>
      </c>
      <c r="F18" s="32">
        <f>ROUND(E18,0)</f>
        <v>431787</v>
      </c>
      <c r="G18" s="31">
        <f t="shared" si="5"/>
        <v>0</v>
      </c>
      <c r="H18" s="41"/>
      <c r="I18" s="31">
        <f t="shared" ref="I18:I19" si="12">ROUND(F18,0)</f>
        <v>431787</v>
      </c>
      <c r="J18" s="31">
        <f t="shared" si="6"/>
        <v>0</v>
      </c>
      <c r="K18" s="41"/>
      <c r="L18" s="31">
        <f t="shared" ref="L18:L19" si="13">ROUND(I18,0)</f>
        <v>431787</v>
      </c>
      <c r="M18" s="31">
        <f t="shared" si="7"/>
        <v>0</v>
      </c>
      <c r="N18" s="41"/>
    </row>
    <row r="19" spans="1:14" x14ac:dyDescent="0.25">
      <c r="A19" s="1" t="s">
        <v>19</v>
      </c>
      <c r="B19" s="28" t="s">
        <v>49</v>
      </c>
      <c r="C19" s="29" t="s">
        <v>50</v>
      </c>
      <c r="D19" s="30" t="s">
        <v>35</v>
      </c>
      <c r="E19" s="32">
        <v>60758</v>
      </c>
      <c r="F19" s="32">
        <f>ROUND(E19,0)</f>
        <v>60758</v>
      </c>
      <c r="G19" s="31">
        <f t="shared" si="5"/>
        <v>0</v>
      </c>
      <c r="H19" s="40"/>
      <c r="I19" s="31">
        <f t="shared" si="12"/>
        <v>60758</v>
      </c>
      <c r="J19" s="31">
        <f t="shared" si="6"/>
        <v>0</v>
      </c>
      <c r="K19" s="40"/>
      <c r="L19" s="31">
        <f t="shared" si="13"/>
        <v>60758</v>
      </c>
      <c r="M19" s="31">
        <f t="shared" si="7"/>
        <v>0</v>
      </c>
      <c r="N19" s="40"/>
    </row>
    <row r="20" spans="1:14" ht="29.25" x14ac:dyDescent="0.25">
      <c r="B20" s="42"/>
      <c r="C20" s="35" t="s">
        <v>51</v>
      </c>
      <c r="D20" s="36" t="s">
        <v>52</v>
      </c>
      <c r="E20" s="38">
        <v>70000</v>
      </c>
      <c r="F20" s="38">
        <f t="shared" ref="F20" si="14">SUM(F21:F22)</f>
        <v>70000</v>
      </c>
      <c r="G20" s="37">
        <f t="shared" si="5"/>
        <v>0</v>
      </c>
      <c r="H20" s="39"/>
      <c r="I20" s="37">
        <f t="shared" ref="I20" si="15">SUM(I21:I22)</f>
        <v>70000</v>
      </c>
      <c r="J20" s="37">
        <f t="shared" si="6"/>
        <v>0</v>
      </c>
      <c r="K20" s="39"/>
      <c r="L20" s="37">
        <f t="shared" ref="L20" si="16">SUM(L21:L22)</f>
        <v>70000</v>
      </c>
      <c r="M20" s="37">
        <f t="shared" si="7"/>
        <v>0</v>
      </c>
      <c r="N20" s="39"/>
    </row>
    <row r="21" spans="1:14" ht="14.45" customHeight="1" outlineLevel="1" x14ac:dyDescent="0.25">
      <c r="B21" s="28" t="s">
        <v>53</v>
      </c>
      <c r="C21" s="29" t="s">
        <v>54</v>
      </c>
      <c r="D21" s="30" t="s">
        <v>55</v>
      </c>
      <c r="E21" s="32">
        <v>0</v>
      </c>
      <c r="F21" s="32">
        <f>ROUND(E21,0)</f>
        <v>0</v>
      </c>
      <c r="G21" s="31">
        <f t="shared" si="5"/>
        <v>0</v>
      </c>
      <c r="H21" s="41"/>
      <c r="I21" s="31">
        <f>ROUND(F21,0)</f>
        <v>0</v>
      </c>
      <c r="J21" s="31">
        <f t="shared" si="6"/>
        <v>0</v>
      </c>
      <c r="K21" s="41"/>
      <c r="L21" s="31">
        <f>ROUND(I21,0)</f>
        <v>0</v>
      </c>
      <c r="M21" s="31">
        <f t="shared" si="7"/>
        <v>0</v>
      </c>
      <c r="N21" s="41"/>
    </row>
    <row r="22" spans="1:14" ht="19.899999999999999" customHeight="1" x14ac:dyDescent="0.25">
      <c r="B22" s="28" t="s">
        <v>56</v>
      </c>
      <c r="C22" s="29" t="s">
        <v>54</v>
      </c>
      <c r="D22" s="30" t="s">
        <v>57</v>
      </c>
      <c r="E22" s="32">
        <v>70000</v>
      </c>
      <c r="F22" s="32">
        <f>ROUND(E22,0)</f>
        <v>70000</v>
      </c>
      <c r="G22" s="31">
        <f t="shared" si="5"/>
        <v>0</v>
      </c>
      <c r="H22" s="43"/>
      <c r="I22" s="31">
        <f>ROUND(F22,0)</f>
        <v>70000</v>
      </c>
      <c r="J22" s="31">
        <f t="shared" si="6"/>
        <v>0</v>
      </c>
      <c r="K22" s="43"/>
      <c r="L22" s="31">
        <f>ROUND(I22,0)</f>
        <v>70000</v>
      </c>
      <c r="M22" s="31">
        <f t="shared" si="7"/>
        <v>0</v>
      </c>
      <c r="N22" s="43"/>
    </row>
    <row r="23" spans="1:14" ht="15.75" customHeight="1" x14ac:dyDescent="0.25">
      <c r="B23" s="1" t="s">
        <v>58</v>
      </c>
      <c r="C23" s="35" t="s">
        <v>59</v>
      </c>
      <c r="D23" s="36" t="s">
        <v>60</v>
      </c>
      <c r="E23" s="38">
        <v>160000</v>
      </c>
      <c r="F23" s="38">
        <f t="shared" ref="F23" si="17">F24+F28</f>
        <v>160000</v>
      </c>
      <c r="G23" s="37">
        <f t="shared" si="5"/>
        <v>0</v>
      </c>
      <c r="H23" s="39"/>
      <c r="I23" s="37">
        <f t="shared" ref="I23" si="18">I24+I28</f>
        <v>160000</v>
      </c>
      <c r="J23" s="37">
        <f t="shared" si="6"/>
        <v>0</v>
      </c>
      <c r="K23" s="39"/>
      <c r="L23" s="37">
        <f t="shared" ref="L23" si="19">L24+L28</f>
        <v>160000</v>
      </c>
      <c r="M23" s="37">
        <f t="shared" si="7"/>
        <v>0</v>
      </c>
      <c r="N23" s="39"/>
    </row>
    <row r="24" spans="1:14" x14ac:dyDescent="0.25">
      <c r="A24" s="1" t="s">
        <v>19</v>
      </c>
      <c r="B24" s="1" t="s">
        <v>61</v>
      </c>
      <c r="C24" s="29" t="s">
        <v>62</v>
      </c>
      <c r="D24" s="30" t="s">
        <v>63</v>
      </c>
      <c r="E24" s="32">
        <v>6700</v>
      </c>
      <c r="F24" s="32">
        <f>F25+F26+F27</f>
        <v>6700</v>
      </c>
      <c r="G24" s="31">
        <f t="shared" si="5"/>
        <v>0</v>
      </c>
      <c r="H24" s="40"/>
      <c r="I24" s="31">
        <f>I25+I26+I27</f>
        <v>6700</v>
      </c>
      <c r="J24" s="31">
        <f t="shared" si="6"/>
        <v>0</v>
      </c>
      <c r="K24" s="40"/>
      <c r="L24" s="31">
        <f>L25+L26+L27</f>
        <v>6700</v>
      </c>
      <c r="M24" s="31">
        <f t="shared" si="7"/>
        <v>0</v>
      </c>
      <c r="N24" s="40"/>
    </row>
    <row r="25" spans="1:14" ht="26.25" x14ac:dyDescent="0.25">
      <c r="B25" s="28" t="s">
        <v>64</v>
      </c>
      <c r="C25" s="44" t="s">
        <v>65</v>
      </c>
      <c r="D25" s="45" t="s">
        <v>66</v>
      </c>
      <c r="E25" s="32">
        <v>1700</v>
      </c>
      <c r="F25" s="32">
        <f>ROUND(E25,0)</f>
        <v>1700</v>
      </c>
      <c r="G25" s="31">
        <f t="shared" si="5"/>
        <v>0</v>
      </c>
      <c r="H25" s="40"/>
      <c r="I25" s="31">
        <f>ROUND(F25,0)</f>
        <v>1700</v>
      </c>
      <c r="J25" s="31">
        <f t="shared" si="6"/>
        <v>0</v>
      </c>
      <c r="K25" s="40"/>
      <c r="L25" s="31">
        <f>ROUND(I25,0)</f>
        <v>1700</v>
      </c>
      <c r="M25" s="31">
        <f t="shared" si="7"/>
        <v>0</v>
      </c>
      <c r="N25" s="40"/>
    </row>
    <row r="26" spans="1:14" ht="26.25" x14ac:dyDescent="0.25">
      <c r="B26" s="28" t="s">
        <v>67</v>
      </c>
      <c r="C26" s="44" t="s">
        <v>68</v>
      </c>
      <c r="D26" s="45" t="s">
        <v>69</v>
      </c>
      <c r="E26" s="32">
        <v>4500</v>
      </c>
      <c r="F26" s="32">
        <f>ROUND(E26,0)</f>
        <v>4500</v>
      </c>
      <c r="G26" s="31">
        <f t="shared" si="5"/>
        <v>0</v>
      </c>
      <c r="H26" s="40"/>
      <c r="I26" s="31">
        <f>ROUND(F26,0)</f>
        <v>4500</v>
      </c>
      <c r="J26" s="31">
        <f t="shared" si="6"/>
        <v>0</v>
      </c>
      <c r="K26" s="40"/>
      <c r="L26" s="31">
        <f>ROUND(I26,0)</f>
        <v>4500</v>
      </c>
      <c r="M26" s="31">
        <f t="shared" si="7"/>
        <v>0</v>
      </c>
      <c r="N26" s="40"/>
    </row>
    <row r="27" spans="1:14" ht="26.25" x14ac:dyDescent="0.25">
      <c r="B27" s="28" t="s">
        <v>70</v>
      </c>
      <c r="C27" s="44" t="s">
        <v>71</v>
      </c>
      <c r="D27" s="45" t="s">
        <v>72</v>
      </c>
      <c r="E27" s="32">
        <v>500</v>
      </c>
      <c r="F27" s="32">
        <f>ROUND(E27,0)</f>
        <v>500</v>
      </c>
      <c r="G27" s="31">
        <f t="shared" si="5"/>
        <v>0</v>
      </c>
      <c r="H27" s="40"/>
      <c r="I27" s="31">
        <f>ROUND(F27,0)</f>
        <v>500</v>
      </c>
      <c r="J27" s="31">
        <f t="shared" si="6"/>
        <v>0</v>
      </c>
      <c r="K27" s="40"/>
      <c r="L27" s="31">
        <f>ROUND(I27,0)</f>
        <v>500</v>
      </c>
      <c r="M27" s="31">
        <f t="shared" si="7"/>
        <v>0</v>
      </c>
      <c r="N27" s="40"/>
    </row>
    <row r="28" spans="1:14" x14ac:dyDescent="0.25">
      <c r="A28" s="1" t="s">
        <v>19</v>
      </c>
      <c r="B28" s="1" t="s">
        <v>73</v>
      </c>
      <c r="C28" s="29" t="s">
        <v>74</v>
      </c>
      <c r="D28" s="30" t="s">
        <v>75</v>
      </c>
      <c r="E28" s="32">
        <v>153300</v>
      </c>
      <c r="F28" s="32">
        <f>SUM(F29:F35)</f>
        <v>153300</v>
      </c>
      <c r="G28" s="31">
        <f t="shared" si="5"/>
        <v>0</v>
      </c>
      <c r="H28" s="40"/>
      <c r="I28" s="31">
        <f>SUM(I29:I35)</f>
        <v>153300</v>
      </c>
      <c r="J28" s="31">
        <f t="shared" si="6"/>
        <v>0</v>
      </c>
      <c r="K28" s="40"/>
      <c r="L28" s="31">
        <f>SUM(L29:L35)</f>
        <v>153300</v>
      </c>
      <c r="M28" s="31">
        <f t="shared" si="7"/>
        <v>0</v>
      </c>
      <c r="N28" s="40"/>
    </row>
    <row r="29" spans="1:14" ht="26.25" x14ac:dyDescent="0.25">
      <c r="B29" s="28" t="s">
        <v>76</v>
      </c>
      <c r="C29" s="44" t="s">
        <v>77</v>
      </c>
      <c r="D29" s="45" t="s">
        <v>78</v>
      </c>
      <c r="E29" s="32">
        <v>350</v>
      </c>
      <c r="F29" s="32">
        <f t="shared" ref="F29:F35" si="20">ROUND(E29,0)</f>
        <v>350</v>
      </c>
      <c r="G29" s="31">
        <f t="shared" si="5"/>
        <v>0</v>
      </c>
      <c r="H29" s="40"/>
      <c r="I29" s="31">
        <f t="shared" ref="I29:I35" si="21">ROUND(F29,0)</f>
        <v>350</v>
      </c>
      <c r="J29" s="31">
        <f t="shared" si="6"/>
        <v>0</v>
      </c>
      <c r="K29" s="40"/>
      <c r="L29" s="31">
        <f t="shared" ref="L29:L35" si="22">ROUND(I29,0)</f>
        <v>350</v>
      </c>
      <c r="M29" s="31">
        <f t="shared" si="7"/>
        <v>0</v>
      </c>
      <c r="N29" s="40"/>
    </row>
    <row r="30" spans="1:14" ht="26.25" x14ac:dyDescent="0.25">
      <c r="B30" s="46" t="s">
        <v>79</v>
      </c>
      <c r="C30" s="44" t="s">
        <v>80</v>
      </c>
      <c r="D30" s="45" t="s">
        <v>81</v>
      </c>
      <c r="E30" s="32">
        <v>1100</v>
      </c>
      <c r="F30" s="32">
        <f t="shared" si="20"/>
        <v>1100</v>
      </c>
      <c r="G30" s="31">
        <f t="shared" si="5"/>
        <v>0</v>
      </c>
      <c r="H30" s="40"/>
      <c r="I30" s="31">
        <f t="shared" si="21"/>
        <v>1100</v>
      </c>
      <c r="J30" s="31">
        <f t="shared" si="6"/>
        <v>0</v>
      </c>
      <c r="K30" s="40"/>
      <c r="L30" s="31">
        <f t="shared" si="22"/>
        <v>1100</v>
      </c>
      <c r="M30" s="31">
        <f t="shared" si="7"/>
        <v>0</v>
      </c>
      <c r="N30" s="40"/>
    </row>
    <row r="31" spans="1:14" x14ac:dyDescent="0.25">
      <c r="B31" s="28" t="s">
        <v>82</v>
      </c>
      <c r="C31" s="44" t="s">
        <v>83</v>
      </c>
      <c r="D31" s="45" t="s">
        <v>84</v>
      </c>
      <c r="E31" s="32">
        <v>27000</v>
      </c>
      <c r="F31" s="32">
        <f t="shared" si="20"/>
        <v>27000</v>
      </c>
      <c r="G31" s="31">
        <f t="shared" si="5"/>
        <v>0</v>
      </c>
      <c r="H31" s="40"/>
      <c r="I31" s="31">
        <f t="shared" si="21"/>
        <v>27000</v>
      </c>
      <c r="J31" s="31">
        <f t="shared" si="6"/>
        <v>0</v>
      </c>
      <c r="K31" s="40"/>
      <c r="L31" s="31">
        <f t="shared" si="22"/>
        <v>27000</v>
      </c>
      <c r="M31" s="31">
        <f t="shared" si="7"/>
        <v>0</v>
      </c>
      <c r="N31" s="40"/>
    </row>
    <row r="32" spans="1:14" x14ac:dyDescent="0.25">
      <c r="B32" s="28" t="s">
        <v>85</v>
      </c>
      <c r="C32" s="44" t="s">
        <v>86</v>
      </c>
      <c r="D32" s="45" t="s">
        <v>87</v>
      </c>
      <c r="E32" s="32">
        <v>0</v>
      </c>
      <c r="F32" s="32">
        <f t="shared" si="20"/>
        <v>0</v>
      </c>
      <c r="G32" s="31">
        <f t="shared" si="5"/>
        <v>0</v>
      </c>
      <c r="H32" s="40"/>
      <c r="I32" s="31">
        <f t="shared" si="21"/>
        <v>0</v>
      </c>
      <c r="J32" s="31">
        <f t="shared" si="6"/>
        <v>0</v>
      </c>
      <c r="K32" s="40"/>
      <c r="L32" s="31">
        <f t="shared" si="22"/>
        <v>0</v>
      </c>
      <c r="M32" s="31">
        <f t="shared" si="7"/>
        <v>0</v>
      </c>
      <c r="N32" s="40"/>
    </row>
    <row r="33" spans="1:14" ht="26.25" x14ac:dyDescent="0.25">
      <c r="B33" s="28" t="s">
        <v>88</v>
      </c>
      <c r="C33" s="44" t="s">
        <v>89</v>
      </c>
      <c r="D33" s="45" t="s">
        <v>90</v>
      </c>
      <c r="E33" s="32">
        <v>11500</v>
      </c>
      <c r="F33" s="32">
        <f t="shared" si="20"/>
        <v>11500</v>
      </c>
      <c r="G33" s="31">
        <f t="shared" si="5"/>
        <v>0</v>
      </c>
      <c r="H33" s="40"/>
      <c r="I33" s="31">
        <f t="shared" si="21"/>
        <v>11500</v>
      </c>
      <c r="J33" s="31">
        <f t="shared" si="6"/>
        <v>0</v>
      </c>
      <c r="K33" s="40"/>
      <c r="L33" s="31">
        <f t="shared" si="22"/>
        <v>11500</v>
      </c>
      <c r="M33" s="31">
        <f t="shared" si="7"/>
        <v>0</v>
      </c>
      <c r="N33" s="40"/>
    </row>
    <row r="34" spans="1:14" x14ac:dyDescent="0.25">
      <c r="B34" s="28" t="s">
        <v>91</v>
      </c>
      <c r="C34" s="44" t="s">
        <v>92</v>
      </c>
      <c r="D34" s="45" t="s">
        <v>93</v>
      </c>
      <c r="E34" s="32">
        <v>106350</v>
      </c>
      <c r="F34" s="32">
        <f t="shared" si="20"/>
        <v>106350</v>
      </c>
      <c r="G34" s="31">
        <f t="shared" si="5"/>
        <v>0</v>
      </c>
      <c r="H34" s="40"/>
      <c r="I34" s="31">
        <f t="shared" si="21"/>
        <v>106350</v>
      </c>
      <c r="J34" s="31">
        <f t="shared" si="6"/>
        <v>0</v>
      </c>
      <c r="K34" s="40"/>
      <c r="L34" s="31">
        <f t="shared" si="22"/>
        <v>106350</v>
      </c>
      <c r="M34" s="31">
        <f t="shared" si="7"/>
        <v>0</v>
      </c>
      <c r="N34" s="40"/>
    </row>
    <row r="35" spans="1:14" x14ac:dyDescent="0.25">
      <c r="B35" s="28" t="s">
        <v>94</v>
      </c>
      <c r="C35" s="44" t="s">
        <v>95</v>
      </c>
      <c r="D35" s="45" t="s">
        <v>96</v>
      </c>
      <c r="E35" s="32">
        <v>7000</v>
      </c>
      <c r="F35" s="32">
        <f t="shared" si="20"/>
        <v>7000</v>
      </c>
      <c r="G35" s="31">
        <f t="shared" si="5"/>
        <v>0</v>
      </c>
      <c r="H35" s="40"/>
      <c r="I35" s="31">
        <f t="shared" si="21"/>
        <v>7000</v>
      </c>
      <c r="J35" s="31">
        <f t="shared" si="6"/>
        <v>0</v>
      </c>
      <c r="K35" s="40"/>
      <c r="L35" s="31">
        <f t="shared" si="22"/>
        <v>7000</v>
      </c>
      <c r="M35" s="31">
        <f t="shared" si="7"/>
        <v>0</v>
      </c>
      <c r="N35" s="40"/>
    </row>
    <row r="36" spans="1:14" ht="18" customHeight="1" x14ac:dyDescent="0.25">
      <c r="B36" s="1" t="s">
        <v>97</v>
      </c>
      <c r="C36" s="35" t="s">
        <v>98</v>
      </c>
      <c r="D36" s="36" t="s">
        <v>99</v>
      </c>
      <c r="E36" s="38">
        <v>65000</v>
      </c>
      <c r="F36" s="38">
        <f>F37+F38</f>
        <v>65000</v>
      </c>
      <c r="G36" s="37">
        <f t="shared" si="5"/>
        <v>0</v>
      </c>
      <c r="H36" s="47"/>
      <c r="I36" s="37">
        <f>I37+I38</f>
        <v>65000</v>
      </c>
      <c r="J36" s="37">
        <f t="shared" si="6"/>
        <v>0</v>
      </c>
      <c r="K36" s="47"/>
      <c r="L36" s="37">
        <f>L37+L38</f>
        <v>65000</v>
      </c>
      <c r="M36" s="37">
        <f t="shared" si="7"/>
        <v>0</v>
      </c>
      <c r="N36" s="47"/>
    </row>
    <row r="37" spans="1:14" ht="16.5" customHeight="1" x14ac:dyDescent="0.25">
      <c r="B37" s="42" t="s">
        <v>100</v>
      </c>
      <c r="C37" s="29" t="s">
        <v>101</v>
      </c>
      <c r="D37" s="30" t="s">
        <v>99</v>
      </c>
      <c r="E37" s="32">
        <v>31000</v>
      </c>
      <c r="F37" s="32">
        <f>ROUND(E37,0)</f>
        <v>31000</v>
      </c>
      <c r="G37" s="31">
        <f t="shared" si="5"/>
        <v>0</v>
      </c>
      <c r="H37" s="33"/>
      <c r="I37" s="31">
        <f>ROUND(F37,0)</f>
        <v>31000</v>
      </c>
      <c r="J37" s="31">
        <f t="shared" si="6"/>
        <v>0</v>
      </c>
      <c r="K37" s="33"/>
      <c r="L37" s="31">
        <f>ROUND(I37,0)</f>
        <v>31000</v>
      </c>
      <c r="M37" s="31">
        <f t="shared" si="7"/>
        <v>0</v>
      </c>
      <c r="N37" s="33"/>
    </row>
    <row r="38" spans="1:14" ht="30" x14ac:dyDescent="0.25">
      <c r="B38" s="42" t="s">
        <v>102</v>
      </c>
      <c r="C38" s="29" t="s">
        <v>103</v>
      </c>
      <c r="D38" s="30" t="s">
        <v>104</v>
      </c>
      <c r="E38" s="32">
        <v>34000</v>
      </c>
      <c r="F38" s="32">
        <f>ROUND(E38,0)</f>
        <v>34000</v>
      </c>
      <c r="G38" s="31">
        <f t="shared" si="5"/>
        <v>0</v>
      </c>
      <c r="H38" s="33"/>
      <c r="I38" s="31">
        <f>ROUND(F38,0)</f>
        <v>34000</v>
      </c>
      <c r="J38" s="31">
        <f t="shared" si="6"/>
        <v>0</v>
      </c>
      <c r="K38" s="33"/>
      <c r="L38" s="31">
        <f>ROUND(I38,0)</f>
        <v>34000</v>
      </c>
      <c r="M38" s="31">
        <f t="shared" si="7"/>
        <v>0</v>
      </c>
      <c r="N38" s="33"/>
    </row>
    <row r="39" spans="1:14" x14ac:dyDescent="0.25">
      <c r="B39" s="1" t="s">
        <v>105</v>
      </c>
      <c r="C39" s="35" t="s">
        <v>106</v>
      </c>
      <c r="D39" s="36" t="s">
        <v>107</v>
      </c>
      <c r="E39" s="38">
        <v>22453</v>
      </c>
      <c r="F39" s="38">
        <f>F40+F41+F42</f>
        <v>33317</v>
      </c>
      <c r="G39" s="37">
        <f t="shared" si="5"/>
        <v>10864</v>
      </c>
      <c r="H39" s="39"/>
      <c r="I39" s="37">
        <f>I40+I41+I42</f>
        <v>176317</v>
      </c>
      <c r="J39" s="37">
        <f t="shared" si="6"/>
        <v>143000</v>
      </c>
      <c r="K39" s="39"/>
      <c r="L39" s="37">
        <f>L40+L41+L42</f>
        <v>176317</v>
      </c>
      <c r="M39" s="37">
        <f t="shared" si="7"/>
        <v>0</v>
      </c>
      <c r="N39" s="39"/>
    </row>
    <row r="40" spans="1:14" ht="16.899999999999999" customHeight="1" x14ac:dyDescent="0.25">
      <c r="A40" s="1" t="s">
        <v>19</v>
      </c>
      <c r="B40" s="3" t="s">
        <v>108</v>
      </c>
      <c r="C40" s="29" t="s">
        <v>109</v>
      </c>
      <c r="D40" s="48" t="s">
        <v>110</v>
      </c>
      <c r="E40" s="32">
        <v>16000</v>
      </c>
      <c r="F40" s="32">
        <f>ROUND(E40,0)+10864</f>
        <v>26864</v>
      </c>
      <c r="G40" s="31">
        <f t="shared" si="5"/>
        <v>10864</v>
      </c>
      <c r="H40" s="49" t="s">
        <v>111</v>
      </c>
      <c r="I40" s="31">
        <f>ROUND(F40,0)+143000</f>
        <v>169864</v>
      </c>
      <c r="J40" s="34">
        <f t="shared" si="6"/>
        <v>143000</v>
      </c>
      <c r="K40" s="50" t="s">
        <v>112</v>
      </c>
      <c r="L40" s="31">
        <f>ROUND(I40,0)</f>
        <v>169864</v>
      </c>
      <c r="M40" s="31">
        <f t="shared" si="7"/>
        <v>0</v>
      </c>
      <c r="N40" s="49"/>
    </row>
    <row r="41" spans="1:14" ht="30" x14ac:dyDescent="0.25">
      <c r="B41" s="1" t="s">
        <v>113</v>
      </c>
      <c r="C41" s="29" t="s">
        <v>114</v>
      </c>
      <c r="D41" s="30" t="s">
        <v>115</v>
      </c>
      <c r="E41" s="32">
        <v>500</v>
      </c>
      <c r="F41" s="32">
        <f>ROUND(E41,0)</f>
        <v>500</v>
      </c>
      <c r="G41" s="31">
        <f t="shared" si="5"/>
        <v>0</v>
      </c>
      <c r="H41" s="49"/>
      <c r="I41" s="31">
        <f>ROUND(F41,0)</f>
        <v>500</v>
      </c>
      <c r="J41" s="31">
        <f t="shared" si="6"/>
        <v>0</v>
      </c>
      <c r="K41" s="49"/>
      <c r="L41" s="31">
        <f>ROUND(I41,0)</f>
        <v>500</v>
      </c>
      <c r="M41" s="31">
        <f t="shared" si="7"/>
        <v>0</v>
      </c>
      <c r="N41" s="49"/>
    </row>
    <row r="42" spans="1:14" x14ac:dyDescent="0.25">
      <c r="C42" s="29" t="s">
        <v>116</v>
      </c>
      <c r="D42" s="30" t="s">
        <v>117</v>
      </c>
      <c r="E42" s="32">
        <v>5953</v>
      </c>
      <c r="F42" s="32">
        <f>ROUND(E42,0)</f>
        <v>5953</v>
      </c>
      <c r="G42" s="31">
        <f t="shared" si="5"/>
        <v>0</v>
      </c>
      <c r="H42" s="33"/>
      <c r="I42" s="31">
        <f>ROUND(F42,0)</f>
        <v>5953</v>
      </c>
      <c r="J42" s="31">
        <f t="shared" si="6"/>
        <v>0</v>
      </c>
      <c r="K42" s="33"/>
      <c r="L42" s="31">
        <f>ROUND(I42,0)</f>
        <v>5953</v>
      </c>
      <c r="M42" s="31">
        <f t="shared" si="7"/>
        <v>0</v>
      </c>
      <c r="N42" s="33"/>
    </row>
    <row r="43" spans="1:14" ht="32.450000000000003" customHeight="1" x14ac:dyDescent="0.25">
      <c r="B43" s="1" t="s">
        <v>118</v>
      </c>
      <c r="C43" s="51" t="s">
        <v>119</v>
      </c>
      <c r="D43" s="36" t="s">
        <v>120</v>
      </c>
      <c r="E43" s="38">
        <v>433856</v>
      </c>
      <c r="F43" s="38">
        <f>ROUND(E43,0)</f>
        <v>433856</v>
      </c>
      <c r="G43" s="37">
        <f t="shared" si="5"/>
        <v>0</v>
      </c>
      <c r="H43" s="47"/>
      <c r="I43" s="37">
        <f>ROUND(F43,0)</f>
        <v>433856</v>
      </c>
      <c r="J43" s="37">
        <f t="shared" si="6"/>
        <v>0</v>
      </c>
      <c r="K43" s="47"/>
      <c r="L43" s="37">
        <f>ROUND(I43,0)</f>
        <v>433856</v>
      </c>
      <c r="M43" s="37">
        <f t="shared" si="7"/>
        <v>0</v>
      </c>
      <c r="N43" s="47"/>
    </row>
    <row r="44" spans="1:14" x14ac:dyDescent="0.25">
      <c r="C44" s="51" t="s">
        <v>121</v>
      </c>
      <c r="D44" s="36" t="s">
        <v>122</v>
      </c>
      <c r="E44" s="38">
        <v>9528140.4900000002</v>
      </c>
      <c r="F44" s="38">
        <f t="shared" ref="F44" si="23">F45+F67+F88</f>
        <v>9575632</v>
      </c>
      <c r="G44" s="37">
        <f t="shared" si="5"/>
        <v>47491.509999999776</v>
      </c>
      <c r="H44" s="37"/>
      <c r="I44" s="37">
        <f t="shared" ref="I44" si="24">I45+I67+I88</f>
        <v>9633217</v>
      </c>
      <c r="J44" s="37">
        <f t="shared" si="6"/>
        <v>57585</v>
      </c>
      <c r="K44" s="37"/>
      <c r="L44" s="37">
        <f t="shared" ref="L44" si="25">L45+L67+L88</f>
        <v>9973168</v>
      </c>
      <c r="M44" s="37">
        <f t="shared" si="7"/>
        <v>339951</v>
      </c>
      <c r="N44" s="37"/>
    </row>
    <row r="45" spans="1:14" ht="17.45" customHeight="1" x14ac:dyDescent="0.25">
      <c r="B45" s="28"/>
      <c r="C45" s="52" t="s">
        <v>123</v>
      </c>
      <c r="D45" s="53" t="s">
        <v>124</v>
      </c>
      <c r="E45" s="32">
        <v>7875899</v>
      </c>
      <c r="F45" s="32">
        <f t="shared" ref="F45" si="26">SUM(F46:F49)+F52+SUM(F56:F66)</f>
        <v>7923391</v>
      </c>
      <c r="G45" s="31">
        <f t="shared" si="5"/>
        <v>47492</v>
      </c>
      <c r="H45" s="31"/>
      <c r="I45" s="31">
        <f t="shared" ref="I45" si="27">SUM(I46:I49)+I52+SUM(I56:I66)</f>
        <v>7975976</v>
      </c>
      <c r="J45" s="31">
        <f t="shared" si="6"/>
        <v>52585</v>
      </c>
      <c r="K45" s="31"/>
      <c r="L45" s="31">
        <f t="shared" ref="L45" si="28">SUM(L46:L49)+L52+SUM(L56:L66)</f>
        <v>8315927</v>
      </c>
      <c r="M45" s="31">
        <f t="shared" si="7"/>
        <v>339951</v>
      </c>
      <c r="N45" s="31"/>
    </row>
    <row r="46" spans="1:14" ht="16.899999999999999" customHeight="1" x14ac:dyDescent="0.25">
      <c r="A46" s="1" t="s">
        <v>125</v>
      </c>
      <c r="B46" s="1" t="s">
        <v>126</v>
      </c>
      <c r="C46" s="44" t="s">
        <v>127</v>
      </c>
      <c r="D46" s="30" t="s">
        <v>128</v>
      </c>
      <c r="E46" s="32">
        <v>593640</v>
      </c>
      <c r="F46" s="32">
        <f>ROUND(E46,0)+52289</f>
        <v>645929</v>
      </c>
      <c r="G46" s="31">
        <f t="shared" si="5"/>
        <v>52289</v>
      </c>
      <c r="H46" s="49" t="s">
        <v>129</v>
      </c>
      <c r="I46" s="31">
        <f>ROUND(F46,0)</f>
        <v>645929</v>
      </c>
      <c r="J46" s="31">
        <f t="shared" si="6"/>
        <v>0</v>
      </c>
      <c r="K46" s="49"/>
      <c r="L46" s="31">
        <f>ROUND(I46,0)</f>
        <v>645929</v>
      </c>
      <c r="M46" s="31">
        <f t="shared" si="7"/>
        <v>0</v>
      </c>
      <c r="N46" s="49"/>
    </row>
    <row r="47" spans="1:14" ht="13.9" customHeight="1" x14ac:dyDescent="0.25">
      <c r="A47" s="1" t="s">
        <v>125</v>
      </c>
      <c r="B47" s="42" t="s">
        <v>130</v>
      </c>
      <c r="C47" s="44" t="s">
        <v>131</v>
      </c>
      <c r="D47" s="30" t="s">
        <v>132</v>
      </c>
      <c r="E47" s="32">
        <v>299288</v>
      </c>
      <c r="F47" s="32">
        <f>ROUND(E47,0)</f>
        <v>299288</v>
      </c>
      <c r="G47" s="31">
        <f t="shared" si="5"/>
        <v>0</v>
      </c>
      <c r="H47" s="33"/>
      <c r="I47" s="31">
        <f>ROUND(F47,0)</f>
        <v>299288</v>
      </c>
      <c r="J47" s="31">
        <f t="shared" si="6"/>
        <v>0</v>
      </c>
      <c r="K47" s="33"/>
      <c r="L47" s="31">
        <f>ROUND(I47,0)</f>
        <v>299288</v>
      </c>
      <c r="M47" s="31">
        <f t="shared" si="7"/>
        <v>0</v>
      </c>
      <c r="N47" s="33"/>
    </row>
    <row r="48" spans="1:14" x14ac:dyDescent="0.25">
      <c r="B48" s="42" t="s">
        <v>133</v>
      </c>
      <c r="C48" s="44" t="s">
        <v>134</v>
      </c>
      <c r="D48" s="30" t="s">
        <v>135</v>
      </c>
      <c r="E48" s="32">
        <v>249276</v>
      </c>
      <c r="F48" s="32">
        <f>ROUND(E48,0)</f>
        <v>249276</v>
      </c>
      <c r="G48" s="31">
        <f t="shared" si="5"/>
        <v>0</v>
      </c>
      <c r="H48" s="49"/>
      <c r="I48" s="31">
        <f>ROUND(F48,0)</f>
        <v>249276</v>
      </c>
      <c r="J48" s="31">
        <f t="shared" si="6"/>
        <v>0</v>
      </c>
      <c r="K48" s="49"/>
      <c r="L48" s="31">
        <f>ROUND(I48,0)</f>
        <v>249276</v>
      </c>
      <c r="M48" s="31">
        <f t="shared" si="7"/>
        <v>0</v>
      </c>
      <c r="N48" s="49"/>
    </row>
    <row r="49" spans="1:14" ht="14.25" customHeight="1" x14ac:dyDescent="0.25">
      <c r="A49" s="1" t="s">
        <v>125</v>
      </c>
      <c r="B49" s="42" t="s">
        <v>136</v>
      </c>
      <c r="C49" s="44" t="s">
        <v>137</v>
      </c>
      <c r="D49" s="30" t="s">
        <v>138</v>
      </c>
      <c r="E49" s="32">
        <v>0</v>
      </c>
      <c r="F49" s="32">
        <f t="shared" ref="F49" si="29">F50+F51</f>
        <v>0</v>
      </c>
      <c r="G49" s="31">
        <f t="shared" si="5"/>
        <v>0</v>
      </c>
      <c r="H49" s="31"/>
      <c r="I49" s="31">
        <f t="shared" ref="I49" si="30">I50+I51</f>
        <v>0</v>
      </c>
      <c r="J49" s="31">
        <f t="shared" si="6"/>
        <v>0</v>
      </c>
      <c r="K49" s="31"/>
      <c r="L49" s="31">
        <f t="shared" ref="L49" si="31">L50+L51</f>
        <v>63466</v>
      </c>
      <c r="M49" s="31">
        <f t="shared" si="7"/>
        <v>63466</v>
      </c>
      <c r="N49" s="31"/>
    </row>
    <row r="50" spans="1:14" ht="14.25" customHeight="1" x14ac:dyDescent="0.25">
      <c r="B50" s="42"/>
      <c r="C50" s="44" t="s">
        <v>139</v>
      </c>
      <c r="D50" s="45" t="s">
        <v>140</v>
      </c>
      <c r="E50" s="32"/>
      <c r="F50" s="32"/>
      <c r="G50" s="31">
        <f t="shared" si="5"/>
        <v>0</v>
      </c>
      <c r="H50" s="49"/>
      <c r="I50" s="31"/>
      <c r="J50" s="31">
        <f t="shared" si="6"/>
        <v>0</v>
      </c>
      <c r="K50" s="49"/>
      <c r="L50" s="31">
        <f>41084+1240+10652+4493+1870+2968+1159</f>
        <v>63466</v>
      </c>
      <c r="M50" s="31">
        <f t="shared" si="7"/>
        <v>63466</v>
      </c>
      <c r="N50" s="49" t="s">
        <v>141</v>
      </c>
    </row>
    <row r="51" spans="1:14" ht="17.45" customHeight="1" x14ac:dyDescent="0.25">
      <c r="B51" s="42"/>
      <c r="C51" s="44" t="s">
        <v>142</v>
      </c>
      <c r="D51" s="45" t="s">
        <v>143</v>
      </c>
      <c r="E51" s="32"/>
      <c r="F51" s="32"/>
      <c r="G51" s="31">
        <f t="shared" si="5"/>
        <v>0</v>
      </c>
      <c r="H51" s="49"/>
      <c r="I51" s="31"/>
      <c r="J51" s="31">
        <f t="shared" si="6"/>
        <v>0</v>
      </c>
      <c r="K51" s="49"/>
      <c r="L51" s="31"/>
      <c r="M51" s="31">
        <f t="shared" si="7"/>
        <v>0</v>
      </c>
      <c r="N51" s="49"/>
    </row>
    <row r="52" spans="1:14" ht="13.9" customHeight="1" x14ac:dyDescent="0.25">
      <c r="B52" s="1" t="s">
        <v>144</v>
      </c>
      <c r="C52" s="44" t="s">
        <v>145</v>
      </c>
      <c r="D52" s="30" t="s">
        <v>146</v>
      </c>
      <c r="E52" s="56">
        <v>5320740</v>
      </c>
      <c r="F52" s="56">
        <f>F53+F54+F55</f>
        <v>5320740</v>
      </c>
      <c r="G52" s="55">
        <f t="shared" si="5"/>
        <v>0</v>
      </c>
      <c r="H52" s="57"/>
      <c r="I52" s="55">
        <f>I53+I54+I55</f>
        <v>5320740</v>
      </c>
      <c r="J52" s="55">
        <f t="shared" si="6"/>
        <v>0</v>
      </c>
      <c r="K52" s="57"/>
      <c r="L52" s="55">
        <f>L53+L54+L55</f>
        <v>5320740</v>
      </c>
      <c r="M52" s="55">
        <f t="shared" si="7"/>
        <v>0</v>
      </c>
      <c r="N52" s="57"/>
    </row>
    <row r="53" spans="1:14" s="61" customFormat="1" x14ac:dyDescent="0.25">
      <c r="A53" s="1" t="s">
        <v>125</v>
      </c>
      <c r="B53" s="42" t="s">
        <v>147</v>
      </c>
      <c r="C53" s="44" t="s">
        <v>148</v>
      </c>
      <c r="D53" s="45" t="s">
        <v>149</v>
      </c>
      <c r="E53" s="59">
        <v>723948</v>
      </c>
      <c r="F53" s="59">
        <f t="shared" ref="F53:F65" si="32">ROUND(E53,0)</f>
        <v>723948</v>
      </c>
      <c r="G53" s="58">
        <f t="shared" si="5"/>
        <v>0</v>
      </c>
      <c r="H53" s="60"/>
      <c r="I53" s="58">
        <f t="shared" ref="I53:I60" si="33">ROUND(F53,0)</f>
        <v>723948</v>
      </c>
      <c r="J53" s="58">
        <f t="shared" si="6"/>
        <v>0</v>
      </c>
      <c r="K53" s="60"/>
      <c r="L53" s="58">
        <f t="shared" ref="L53:L60" si="34">ROUND(I53,0)</f>
        <v>723948</v>
      </c>
      <c r="M53" s="58">
        <f t="shared" si="7"/>
        <v>0</v>
      </c>
      <c r="N53" s="60"/>
    </row>
    <row r="54" spans="1:14" s="61" customFormat="1" x14ac:dyDescent="0.25">
      <c r="A54" s="1" t="s">
        <v>125</v>
      </c>
      <c r="B54" s="42" t="s">
        <v>150</v>
      </c>
      <c r="C54" s="44" t="s">
        <v>151</v>
      </c>
      <c r="D54" s="45" t="s">
        <v>152</v>
      </c>
      <c r="E54" s="59">
        <v>4279428</v>
      </c>
      <c r="F54" s="59">
        <f>ROUND(E54,0)</f>
        <v>4279428</v>
      </c>
      <c r="G54" s="58">
        <f t="shared" si="5"/>
        <v>0</v>
      </c>
      <c r="H54" s="60"/>
      <c r="I54" s="58">
        <f t="shared" si="33"/>
        <v>4279428</v>
      </c>
      <c r="J54" s="58">
        <f t="shared" si="6"/>
        <v>0</v>
      </c>
      <c r="K54" s="60"/>
      <c r="L54" s="58">
        <f t="shared" si="34"/>
        <v>4279428</v>
      </c>
      <c r="M54" s="58">
        <f t="shared" si="7"/>
        <v>0</v>
      </c>
      <c r="N54" s="60"/>
    </row>
    <row r="55" spans="1:14" s="61" customFormat="1" x14ac:dyDescent="0.25">
      <c r="A55" s="1" t="s">
        <v>125</v>
      </c>
      <c r="B55" s="1"/>
      <c r="C55" s="44" t="s">
        <v>153</v>
      </c>
      <c r="D55" s="45" t="s">
        <v>154</v>
      </c>
      <c r="E55" s="59">
        <v>317364</v>
      </c>
      <c r="F55" s="59">
        <f t="shared" si="32"/>
        <v>317364</v>
      </c>
      <c r="G55" s="62">
        <f t="shared" si="5"/>
        <v>0</v>
      </c>
      <c r="H55" s="63"/>
      <c r="I55" s="58">
        <f t="shared" si="33"/>
        <v>317364</v>
      </c>
      <c r="J55" s="62">
        <f t="shared" si="6"/>
        <v>0</v>
      </c>
      <c r="K55" s="63"/>
      <c r="L55" s="58">
        <f t="shared" si="34"/>
        <v>317364</v>
      </c>
      <c r="M55" s="62">
        <f t="shared" si="7"/>
        <v>0</v>
      </c>
      <c r="N55" s="63"/>
    </row>
    <row r="56" spans="1:14" ht="31.5" customHeight="1" x14ac:dyDescent="0.25">
      <c r="A56" s="1" t="s">
        <v>125</v>
      </c>
      <c r="B56" s="1" t="s">
        <v>155</v>
      </c>
      <c r="C56" s="44" t="s">
        <v>156</v>
      </c>
      <c r="D56" s="30" t="s">
        <v>157</v>
      </c>
      <c r="E56" s="32">
        <v>13088</v>
      </c>
      <c r="F56" s="32">
        <f t="shared" si="32"/>
        <v>13088</v>
      </c>
      <c r="G56" s="31">
        <f t="shared" si="5"/>
        <v>0</v>
      </c>
      <c r="H56" s="40"/>
      <c r="I56" s="31">
        <f t="shared" si="33"/>
        <v>13088</v>
      </c>
      <c r="J56" s="31">
        <f t="shared" si="6"/>
        <v>0</v>
      </c>
      <c r="K56" s="40"/>
      <c r="L56" s="31">
        <f t="shared" si="34"/>
        <v>13088</v>
      </c>
      <c r="M56" s="31">
        <f t="shared" si="7"/>
        <v>0</v>
      </c>
      <c r="N56" s="40"/>
    </row>
    <row r="57" spans="1:14" ht="19.149999999999999" customHeight="1" x14ac:dyDescent="0.25">
      <c r="A57" s="1" t="s">
        <v>125</v>
      </c>
      <c r="B57" s="42" t="s">
        <v>158</v>
      </c>
      <c r="C57" s="44" t="s">
        <v>159</v>
      </c>
      <c r="D57" s="30" t="s">
        <v>160</v>
      </c>
      <c r="E57" s="32">
        <v>16104</v>
      </c>
      <c r="F57" s="32">
        <f>ROUND(E57,0)-2011</f>
        <v>14093</v>
      </c>
      <c r="G57" s="31">
        <f t="shared" si="5"/>
        <v>-2011</v>
      </c>
      <c r="H57" s="33" t="s">
        <v>161</v>
      </c>
      <c r="I57" s="31">
        <f t="shared" si="33"/>
        <v>14093</v>
      </c>
      <c r="J57" s="31">
        <f t="shared" si="6"/>
        <v>0</v>
      </c>
      <c r="K57" s="33"/>
      <c r="L57" s="31">
        <f t="shared" si="34"/>
        <v>14093</v>
      </c>
      <c r="M57" s="31">
        <f t="shared" si="7"/>
        <v>0</v>
      </c>
      <c r="N57" s="33"/>
    </row>
    <row r="58" spans="1:14" ht="19.149999999999999" customHeight="1" x14ac:dyDescent="0.25">
      <c r="B58" s="42"/>
      <c r="C58" s="44" t="s">
        <v>162</v>
      </c>
      <c r="D58" s="30" t="s">
        <v>163</v>
      </c>
      <c r="E58" s="32">
        <v>6454</v>
      </c>
      <c r="F58" s="32">
        <f>ROUND(E58,0)-2786</f>
        <v>3668</v>
      </c>
      <c r="G58" s="31">
        <f t="shared" si="5"/>
        <v>-2786</v>
      </c>
      <c r="H58" s="33" t="s">
        <v>161</v>
      </c>
      <c r="I58" s="31">
        <f t="shared" si="33"/>
        <v>3668</v>
      </c>
      <c r="J58" s="31">
        <f t="shared" si="6"/>
        <v>0</v>
      </c>
      <c r="K58" s="33"/>
      <c r="L58" s="31">
        <f t="shared" si="34"/>
        <v>3668</v>
      </c>
      <c r="M58" s="31">
        <f t="shared" si="7"/>
        <v>0</v>
      </c>
      <c r="N58" s="33"/>
    </row>
    <row r="59" spans="1:14" ht="18.600000000000001" customHeight="1" x14ac:dyDescent="0.25">
      <c r="B59" s="1" t="s">
        <v>164</v>
      </c>
      <c r="C59" s="44" t="s">
        <v>165</v>
      </c>
      <c r="D59" s="30" t="s">
        <v>166</v>
      </c>
      <c r="E59" s="32">
        <v>421092</v>
      </c>
      <c r="F59" s="32">
        <f t="shared" si="32"/>
        <v>421092</v>
      </c>
      <c r="G59" s="31">
        <f t="shared" si="5"/>
        <v>0</v>
      </c>
      <c r="H59" s="49"/>
      <c r="I59" s="31">
        <f t="shared" si="33"/>
        <v>421092</v>
      </c>
      <c r="J59" s="31">
        <f t="shared" si="6"/>
        <v>0</v>
      </c>
      <c r="K59" s="49"/>
      <c r="L59" s="31">
        <f t="shared" si="34"/>
        <v>421092</v>
      </c>
      <c r="M59" s="31">
        <f t="shared" si="7"/>
        <v>0</v>
      </c>
      <c r="N59" s="49"/>
    </row>
    <row r="60" spans="1:14" ht="31.5" customHeight="1" x14ac:dyDescent="0.25">
      <c r="C60" s="44" t="s">
        <v>167</v>
      </c>
      <c r="D60" s="30" t="s">
        <v>168</v>
      </c>
      <c r="E60" s="32">
        <v>25954</v>
      </c>
      <c r="F60" s="32">
        <f t="shared" si="32"/>
        <v>25954</v>
      </c>
      <c r="G60" s="31">
        <f t="shared" si="5"/>
        <v>0</v>
      </c>
      <c r="H60" s="33"/>
      <c r="I60" s="31">
        <f t="shared" si="33"/>
        <v>25954</v>
      </c>
      <c r="J60" s="31">
        <f t="shared" si="6"/>
        <v>0</v>
      </c>
      <c r="K60" s="33"/>
      <c r="L60" s="31">
        <f t="shared" si="34"/>
        <v>25954</v>
      </c>
      <c r="M60" s="31">
        <f t="shared" si="7"/>
        <v>0</v>
      </c>
      <c r="N60" s="33"/>
    </row>
    <row r="61" spans="1:14" ht="31.5" hidden="1" customHeight="1" outlineLevel="1" x14ac:dyDescent="0.25">
      <c r="C61" s="44"/>
      <c r="D61" s="30" t="s">
        <v>169</v>
      </c>
      <c r="E61" s="32"/>
      <c r="F61" s="32"/>
      <c r="G61" s="31"/>
      <c r="H61" s="33"/>
      <c r="I61" s="31"/>
      <c r="J61" s="31">
        <f t="shared" si="6"/>
        <v>0</v>
      </c>
      <c r="K61" s="33"/>
      <c r="L61" s="31"/>
      <c r="M61" s="31">
        <f t="shared" si="7"/>
        <v>0</v>
      </c>
      <c r="N61" s="33"/>
    </row>
    <row r="62" spans="1:14" ht="16.5" customHeight="1" collapsed="1" x14ac:dyDescent="0.25">
      <c r="B62" s="64" t="s">
        <v>170</v>
      </c>
      <c r="C62" s="44" t="s">
        <v>171</v>
      </c>
      <c r="D62" s="65" t="s">
        <v>172</v>
      </c>
      <c r="E62" s="32">
        <v>342263</v>
      </c>
      <c r="F62" s="32">
        <f t="shared" si="32"/>
        <v>342263</v>
      </c>
      <c r="G62" s="31">
        <f t="shared" si="5"/>
        <v>0</v>
      </c>
      <c r="H62" s="33"/>
      <c r="I62" s="31">
        <f>ROUND(F62,0)+32585</f>
        <v>374848</v>
      </c>
      <c r="J62" s="31">
        <f t="shared" si="6"/>
        <v>32585</v>
      </c>
      <c r="K62" s="33" t="s">
        <v>173</v>
      </c>
      <c r="L62" s="31">
        <f>ROUND(I62,0)</f>
        <v>374848</v>
      </c>
      <c r="M62" s="31">
        <f t="shared" si="7"/>
        <v>0</v>
      </c>
      <c r="N62" s="33"/>
    </row>
    <row r="63" spans="1:14" ht="58.9" customHeight="1" x14ac:dyDescent="0.25">
      <c r="C63" s="44"/>
      <c r="D63" s="30" t="s">
        <v>174</v>
      </c>
      <c r="E63" s="32">
        <v>0</v>
      </c>
      <c r="F63" s="32">
        <f t="shared" si="32"/>
        <v>0</v>
      </c>
      <c r="G63" s="31">
        <f t="shared" si="5"/>
        <v>0</v>
      </c>
      <c r="H63" s="49"/>
      <c r="I63" s="31">
        <f>ROUND(F63,0)</f>
        <v>0</v>
      </c>
      <c r="J63" s="31">
        <f t="shared" si="6"/>
        <v>0</v>
      </c>
      <c r="K63" s="49"/>
      <c r="L63" s="31">
        <f>ROUND(I63,0)</f>
        <v>0</v>
      </c>
      <c r="M63" s="31">
        <f t="shared" si="7"/>
        <v>0</v>
      </c>
      <c r="N63" s="49"/>
    </row>
    <row r="64" spans="1:14" ht="15.6" customHeight="1" x14ac:dyDescent="0.25">
      <c r="C64" s="44" t="s">
        <v>175</v>
      </c>
      <c r="D64" s="30" t="s">
        <v>176</v>
      </c>
      <c r="E64" s="32">
        <v>50000</v>
      </c>
      <c r="F64" s="32">
        <f t="shared" si="32"/>
        <v>50000</v>
      </c>
      <c r="G64" s="31">
        <f t="shared" si="5"/>
        <v>0</v>
      </c>
      <c r="H64" s="49"/>
      <c r="I64" s="31">
        <f>ROUND(F64,0)+20000</f>
        <v>70000</v>
      </c>
      <c r="J64" s="31">
        <f t="shared" si="6"/>
        <v>20000</v>
      </c>
      <c r="K64" s="49" t="s">
        <v>177</v>
      </c>
      <c r="L64" s="31">
        <f>ROUND(I64,0)</f>
        <v>70000</v>
      </c>
      <c r="M64" s="31">
        <f t="shared" si="7"/>
        <v>0</v>
      </c>
      <c r="N64" s="49"/>
    </row>
    <row r="65" spans="1:14" ht="27" customHeight="1" x14ac:dyDescent="0.25">
      <c r="B65" s="1" t="s">
        <v>144</v>
      </c>
      <c r="C65" s="44" t="s">
        <v>178</v>
      </c>
      <c r="D65" s="30" t="s">
        <v>179</v>
      </c>
      <c r="E65" s="32">
        <v>400000</v>
      </c>
      <c r="F65" s="32">
        <f t="shared" si="32"/>
        <v>400000</v>
      </c>
      <c r="G65" s="31">
        <f t="shared" si="5"/>
        <v>0</v>
      </c>
      <c r="H65" s="49"/>
      <c r="I65" s="31">
        <f>ROUND(F65,0)</f>
        <v>400000</v>
      </c>
      <c r="J65" s="31">
        <f t="shared" si="6"/>
        <v>0</v>
      </c>
      <c r="K65" s="49"/>
      <c r="L65" s="31">
        <f>ROUND(I65,0)+263500</f>
        <v>663500</v>
      </c>
      <c r="M65" s="31">
        <f t="shared" si="7"/>
        <v>263500</v>
      </c>
      <c r="N65" s="49" t="s">
        <v>180</v>
      </c>
    </row>
    <row r="66" spans="1:14" ht="55.9" customHeight="1" x14ac:dyDescent="0.25">
      <c r="A66" s="64" t="s">
        <v>181</v>
      </c>
      <c r="B66" s="1" t="s">
        <v>182</v>
      </c>
      <c r="C66" s="44" t="s">
        <v>183</v>
      </c>
      <c r="D66" s="30" t="s">
        <v>184</v>
      </c>
      <c r="E66" s="32">
        <v>138000</v>
      </c>
      <c r="F66" s="32">
        <f>ROUND(E66,0)</f>
        <v>138000</v>
      </c>
      <c r="G66" s="31">
        <f t="shared" si="5"/>
        <v>0</v>
      </c>
      <c r="H66" s="49"/>
      <c r="I66" s="31">
        <f>ROUND(F66,0)</f>
        <v>138000</v>
      </c>
      <c r="J66" s="31">
        <f t="shared" si="6"/>
        <v>0</v>
      </c>
      <c r="K66" s="49"/>
      <c r="L66" s="31">
        <f>ROUND(I66,0)+5841+7144</f>
        <v>150985</v>
      </c>
      <c r="M66" s="31">
        <f t="shared" si="7"/>
        <v>12985</v>
      </c>
      <c r="N66" s="49" t="s">
        <v>185</v>
      </c>
    </row>
    <row r="67" spans="1:14" ht="32.25" customHeight="1" x14ac:dyDescent="0.25">
      <c r="C67" s="52" t="s">
        <v>186</v>
      </c>
      <c r="D67" s="53" t="s">
        <v>187</v>
      </c>
      <c r="E67" s="66">
        <v>1652241.49</v>
      </c>
      <c r="F67" s="66">
        <f>SUM(F68:F87)</f>
        <v>1652241</v>
      </c>
      <c r="G67" s="54">
        <f t="shared" si="5"/>
        <v>-0.48999999999068677</v>
      </c>
      <c r="H67" s="67"/>
      <c r="I67" s="54">
        <f>SUM(I68:I87)</f>
        <v>1657241</v>
      </c>
      <c r="J67" s="54">
        <f t="shared" si="6"/>
        <v>5000</v>
      </c>
      <c r="K67" s="67"/>
      <c r="L67" s="54">
        <f>SUM(L68:L87)</f>
        <v>1657241</v>
      </c>
      <c r="M67" s="54">
        <f t="shared" si="7"/>
        <v>0</v>
      </c>
      <c r="N67" s="67"/>
    </row>
    <row r="68" spans="1:14" x14ac:dyDescent="0.25">
      <c r="A68" s="1" t="s">
        <v>125</v>
      </c>
      <c r="B68" s="42" t="s">
        <v>188</v>
      </c>
      <c r="C68" s="44" t="s">
        <v>189</v>
      </c>
      <c r="D68" s="69" t="s">
        <v>190</v>
      </c>
      <c r="E68" s="32">
        <v>7417</v>
      </c>
      <c r="F68" s="32">
        <f t="shared" ref="F68:F88" si="35">ROUND(E68,0)</f>
        <v>7417</v>
      </c>
      <c r="G68" s="31">
        <f t="shared" si="5"/>
        <v>0</v>
      </c>
      <c r="H68" s="70"/>
      <c r="I68" s="31">
        <f t="shared" ref="I68:I81" si="36">ROUND(F68,0)</f>
        <v>7417</v>
      </c>
      <c r="J68" s="31">
        <f t="shared" si="6"/>
        <v>0</v>
      </c>
      <c r="K68" s="70"/>
      <c r="L68" s="31">
        <f t="shared" ref="L68:L81" si="37">ROUND(I68,0)</f>
        <v>7417</v>
      </c>
      <c r="M68" s="31">
        <f t="shared" si="7"/>
        <v>0</v>
      </c>
      <c r="N68" s="70"/>
    </row>
    <row r="69" spans="1:14" x14ac:dyDescent="0.25">
      <c r="A69" s="1" t="s">
        <v>191</v>
      </c>
      <c r="B69" s="1" t="s">
        <v>192</v>
      </c>
      <c r="C69" s="44" t="s">
        <v>193</v>
      </c>
      <c r="D69" s="69" t="s">
        <v>194</v>
      </c>
      <c r="E69" s="32">
        <v>109839.1</v>
      </c>
      <c r="F69" s="32">
        <f t="shared" si="35"/>
        <v>109839</v>
      </c>
      <c r="G69" s="31">
        <f t="shared" si="5"/>
        <v>-0.10000000000582077</v>
      </c>
      <c r="H69" s="41"/>
      <c r="I69" s="31">
        <f t="shared" si="36"/>
        <v>109839</v>
      </c>
      <c r="J69" s="31">
        <f t="shared" si="6"/>
        <v>0</v>
      </c>
      <c r="K69" s="41"/>
      <c r="L69" s="31">
        <f t="shared" si="37"/>
        <v>109839</v>
      </c>
      <c r="M69" s="31">
        <f t="shared" si="7"/>
        <v>0</v>
      </c>
      <c r="N69" s="41"/>
    </row>
    <row r="70" spans="1:14" ht="30" hidden="1" outlineLevel="1" x14ac:dyDescent="0.25">
      <c r="C70" s="44" t="s">
        <v>195</v>
      </c>
      <c r="D70" s="69" t="s">
        <v>196</v>
      </c>
      <c r="E70" s="32">
        <v>0</v>
      </c>
      <c r="F70" s="32">
        <f t="shared" si="35"/>
        <v>0</v>
      </c>
      <c r="G70" s="31">
        <f t="shared" si="5"/>
        <v>0</v>
      </c>
      <c r="H70" s="49"/>
      <c r="I70" s="31">
        <f t="shared" si="36"/>
        <v>0</v>
      </c>
      <c r="J70" s="31">
        <f t="shared" si="6"/>
        <v>0</v>
      </c>
      <c r="K70" s="49"/>
      <c r="L70" s="31">
        <f t="shared" si="37"/>
        <v>0</v>
      </c>
      <c r="M70" s="31">
        <f t="shared" si="7"/>
        <v>0</v>
      </c>
      <c r="N70" s="49"/>
    </row>
    <row r="71" spans="1:14" ht="45" hidden="1" outlineLevel="1" x14ac:dyDescent="0.25">
      <c r="B71" s="71" t="s">
        <v>197</v>
      </c>
      <c r="C71" s="44" t="s">
        <v>198</v>
      </c>
      <c r="D71" s="69" t="s">
        <v>199</v>
      </c>
      <c r="E71" s="32">
        <v>0</v>
      </c>
      <c r="F71" s="32">
        <f t="shared" si="35"/>
        <v>0</v>
      </c>
      <c r="G71" s="31">
        <f t="shared" si="5"/>
        <v>0</v>
      </c>
      <c r="H71" s="41"/>
      <c r="I71" s="31">
        <f t="shared" si="36"/>
        <v>0</v>
      </c>
      <c r="J71" s="31">
        <f t="shared" si="6"/>
        <v>0</v>
      </c>
      <c r="K71" s="41"/>
      <c r="L71" s="31">
        <f t="shared" si="37"/>
        <v>0</v>
      </c>
      <c r="M71" s="31">
        <f t="shared" si="7"/>
        <v>0</v>
      </c>
      <c r="N71" s="41"/>
    </row>
    <row r="72" spans="1:14" ht="30" hidden="1" outlineLevel="1" x14ac:dyDescent="0.25">
      <c r="B72" s="1" t="s">
        <v>200</v>
      </c>
      <c r="C72" s="44" t="s">
        <v>201</v>
      </c>
      <c r="D72" s="69" t="s">
        <v>202</v>
      </c>
      <c r="E72" s="32">
        <v>0</v>
      </c>
      <c r="F72" s="32">
        <f t="shared" si="35"/>
        <v>0</v>
      </c>
      <c r="G72" s="31">
        <f t="shared" ref="G72:G126" si="38">F72-E72</f>
        <v>0</v>
      </c>
      <c r="H72" s="43"/>
      <c r="I72" s="31">
        <f t="shared" si="36"/>
        <v>0</v>
      </c>
      <c r="J72" s="31">
        <f t="shared" si="6"/>
        <v>0</v>
      </c>
      <c r="K72" s="43"/>
      <c r="L72" s="31">
        <f t="shared" si="37"/>
        <v>0</v>
      </c>
      <c r="M72" s="31">
        <f t="shared" si="7"/>
        <v>0</v>
      </c>
      <c r="N72" s="43"/>
    </row>
    <row r="73" spans="1:14" ht="30" collapsed="1" x14ac:dyDescent="0.25">
      <c r="B73" s="42" t="s">
        <v>203</v>
      </c>
      <c r="C73" s="44" t="s">
        <v>204</v>
      </c>
      <c r="D73" s="69" t="s">
        <v>205</v>
      </c>
      <c r="E73" s="32">
        <v>81714</v>
      </c>
      <c r="F73" s="32">
        <f t="shared" si="35"/>
        <v>81714</v>
      </c>
      <c r="G73" s="31">
        <f t="shared" si="38"/>
        <v>0</v>
      </c>
      <c r="H73" s="72"/>
      <c r="I73" s="31">
        <f t="shared" si="36"/>
        <v>81714</v>
      </c>
      <c r="J73" s="31">
        <f t="shared" ref="J73:J126" si="39">I73-F73</f>
        <v>0</v>
      </c>
      <c r="K73" s="72"/>
      <c r="L73" s="31">
        <f t="shared" si="37"/>
        <v>81714</v>
      </c>
      <c r="M73" s="31">
        <f t="shared" ref="M73:M126" si="40">L73-I73</f>
        <v>0</v>
      </c>
      <c r="N73" s="72"/>
    </row>
    <row r="74" spans="1:14" ht="30" x14ac:dyDescent="0.25">
      <c r="B74" s="42"/>
      <c r="C74" s="44" t="s">
        <v>206</v>
      </c>
      <c r="D74" s="69" t="s">
        <v>207</v>
      </c>
      <c r="E74" s="32">
        <v>117147</v>
      </c>
      <c r="F74" s="32">
        <f t="shared" si="35"/>
        <v>117147</v>
      </c>
      <c r="G74" s="31">
        <f t="shared" si="38"/>
        <v>0</v>
      </c>
      <c r="H74" s="72"/>
      <c r="I74" s="31">
        <f t="shared" si="36"/>
        <v>117147</v>
      </c>
      <c r="J74" s="31">
        <f t="shared" si="39"/>
        <v>0</v>
      </c>
      <c r="K74" s="72"/>
      <c r="L74" s="31">
        <f t="shared" si="37"/>
        <v>117147</v>
      </c>
      <c r="M74" s="31">
        <f t="shared" si="40"/>
        <v>0</v>
      </c>
      <c r="N74" s="72"/>
    </row>
    <row r="75" spans="1:14" x14ac:dyDescent="0.25">
      <c r="B75" s="42"/>
      <c r="C75" s="44" t="s">
        <v>208</v>
      </c>
      <c r="D75" s="69" t="s">
        <v>209</v>
      </c>
      <c r="E75" s="32">
        <v>291947</v>
      </c>
      <c r="F75" s="32">
        <f t="shared" si="35"/>
        <v>291947</v>
      </c>
      <c r="G75" s="31">
        <f t="shared" si="38"/>
        <v>0</v>
      </c>
      <c r="H75" s="72"/>
      <c r="I75" s="31">
        <f t="shared" si="36"/>
        <v>291947</v>
      </c>
      <c r="J75" s="31">
        <f t="shared" si="39"/>
        <v>0</v>
      </c>
      <c r="K75" s="72"/>
      <c r="L75" s="31">
        <f t="shared" si="37"/>
        <v>291947</v>
      </c>
      <c r="M75" s="31">
        <f t="shared" si="40"/>
        <v>0</v>
      </c>
      <c r="N75" s="72"/>
    </row>
    <row r="76" spans="1:14" ht="30" x14ac:dyDescent="0.25">
      <c r="A76" s="1" t="s">
        <v>210</v>
      </c>
      <c r="B76" s="73" t="s">
        <v>211</v>
      </c>
      <c r="C76" s="44" t="s">
        <v>212</v>
      </c>
      <c r="D76" s="69" t="s">
        <v>213</v>
      </c>
      <c r="E76" s="32">
        <v>104321.39</v>
      </c>
      <c r="F76" s="32">
        <f t="shared" si="35"/>
        <v>104321</v>
      </c>
      <c r="G76" s="31">
        <f t="shared" si="38"/>
        <v>-0.38999999999941792</v>
      </c>
      <c r="H76" s="72"/>
      <c r="I76" s="31">
        <f t="shared" si="36"/>
        <v>104321</v>
      </c>
      <c r="J76" s="31">
        <f t="shared" si="39"/>
        <v>0</v>
      </c>
      <c r="K76" s="72"/>
      <c r="L76" s="31">
        <f t="shared" si="37"/>
        <v>104321</v>
      </c>
      <c r="M76" s="31">
        <f t="shared" si="40"/>
        <v>0</v>
      </c>
      <c r="N76" s="72"/>
    </row>
    <row r="77" spans="1:14" x14ac:dyDescent="0.25">
      <c r="B77" s="64" t="s">
        <v>5</v>
      </c>
      <c r="C77" s="44" t="s">
        <v>214</v>
      </c>
      <c r="D77" s="74" t="s">
        <v>215</v>
      </c>
      <c r="E77" s="32">
        <v>40898</v>
      </c>
      <c r="F77" s="32">
        <f t="shared" si="35"/>
        <v>40898</v>
      </c>
      <c r="G77" s="31">
        <f t="shared" si="38"/>
        <v>0</v>
      </c>
      <c r="H77" s="72"/>
      <c r="I77" s="31">
        <f t="shared" si="36"/>
        <v>40898</v>
      </c>
      <c r="J77" s="31">
        <f t="shared" si="39"/>
        <v>0</v>
      </c>
      <c r="K77" s="72"/>
      <c r="L77" s="31">
        <f t="shared" si="37"/>
        <v>40898</v>
      </c>
      <c r="M77" s="31">
        <f t="shared" si="40"/>
        <v>0</v>
      </c>
      <c r="N77" s="72"/>
    </row>
    <row r="78" spans="1:14" ht="30" hidden="1" outlineLevel="1" x14ac:dyDescent="0.25">
      <c r="B78" s="42"/>
      <c r="C78" s="44" t="s">
        <v>216</v>
      </c>
      <c r="D78" s="69" t="s">
        <v>217</v>
      </c>
      <c r="E78" s="32">
        <v>0</v>
      </c>
      <c r="F78" s="32">
        <f t="shared" si="35"/>
        <v>0</v>
      </c>
      <c r="G78" s="31">
        <f t="shared" si="38"/>
        <v>0</v>
      </c>
      <c r="H78" s="72"/>
      <c r="I78" s="31">
        <f t="shared" si="36"/>
        <v>0</v>
      </c>
      <c r="J78" s="31">
        <f t="shared" si="39"/>
        <v>0</v>
      </c>
      <c r="K78" s="72"/>
      <c r="L78" s="31">
        <f t="shared" si="37"/>
        <v>0</v>
      </c>
      <c r="M78" s="31">
        <f t="shared" si="40"/>
        <v>0</v>
      </c>
      <c r="N78" s="72"/>
    </row>
    <row r="79" spans="1:14" ht="30" hidden="1" outlineLevel="1" x14ac:dyDescent="0.25">
      <c r="B79" s="42"/>
      <c r="C79" s="44" t="s">
        <v>218</v>
      </c>
      <c r="D79" s="69" t="s">
        <v>219</v>
      </c>
      <c r="E79" s="32">
        <v>0</v>
      </c>
      <c r="F79" s="32">
        <f t="shared" si="35"/>
        <v>0</v>
      </c>
      <c r="G79" s="31">
        <f t="shared" si="38"/>
        <v>0</v>
      </c>
      <c r="H79" s="72"/>
      <c r="I79" s="31">
        <f t="shared" si="36"/>
        <v>0</v>
      </c>
      <c r="J79" s="31">
        <f t="shared" si="39"/>
        <v>0</v>
      </c>
      <c r="K79" s="72"/>
      <c r="L79" s="31">
        <f t="shared" si="37"/>
        <v>0</v>
      </c>
      <c r="M79" s="31">
        <f t="shared" si="40"/>
        <v>0</v>
      </c>
      <c r="N79" s="72"/>
    </row>
    <row r="80" spans="1:14" collapsed="1" x14ac:dyDescent="0.25">
      <c r="B80" s="42"/>
      <c r="C80" s="44" t="s">
        <v>220</v>
      </c>
      <c r="D80" s="74" t="s">
        <v>221</v>
      </c>
      <c r="E80" s="32">
        <v>202410</v>
      </c>
      <c r="F80" s="32">
        <f t="shared" si="35"/>
        <v>202410</v>
      </c>
      <c r="G80" s="31">
        <f t="shared" si="38"/>
        <v>0</v>
      </c>
      <c r="H80" s="72"/>
      <c r="I80" s="31">
        <f t="shared" si="36"/>
        <v>202410</v>
      </c>
      <c r="J80" s="31">
        <f t="shared" si="39"/>
        <v>0</v>
      </c>
      <c r="K80" s="72"/>
      <c r="L80" s="31">
        <f t="shared" si="37"/>
        <v>202410</v>
      </c>
      <c r="M80" s="31">
        <f t="shared" si="40"/>
        <v>0</v>
      </c>
      <c r="N80" s="72"/>
    </row>
    <row r="81" spans="1:14" ht="30" hidden="1" outlineLevel="1" x14ac:dyDescent="0.25">
      <c r="B81" s="42"/>
      <c r="C81" s="44" t="s">
        <v>222</v>
      </c>
      <c r="D81" s="69" t="s">
        <v>223</v>
      </c>
      <c r="E81" s="32">
        <v>0</v>
      </c>
      <c r="F81" s="32">
        <f t="shared" si="35"/>
        <v>0</v>
      </c>
      <c r="G81" s="31">
        <f t="shared" si="38"/>
        <v>0</v>
      </c>
      <c r="H81" s="72"/>
      <c r="I81" s="31">
        <f t="shared" si="36"/>
        <v>0</v>
      </c>
      <c r="J81" s="31">
        <f t="shared" si="39"/>
        <v>0</v>
      </c>
      <c r="K81" s="72"/>
      <c r="L81" s="31">
        <f t="shared" si="37"/>
        <v>0</v>
      </c>
      <c r="M81" s="31">
        <f t="shared" si="40"/>
        <v>0</v>
      </c>
      <c r="N81" s="72"/>
    </row>
    <row r="82" spans="1:14" collapsed="1" x14ac:dyDescent="0.25">
      <c r="B82" s="42"/>
      <c r="C82" s="44" t="s">
        <v>224</v>
      </c>
      <c r="D82" s="69" t="s">
        <v>225</v>
      </c>
      <c r="E82" s="32">
        <v>2464</v>
      </c>
      <c r="F82" s="32">
        <f t="shared" si="35"/>
        <v>2464</v>
      </c>
      <c r="G82" s="31">
        <f t="shared" si="38"/>
        <v>0</v>
      </c>
      <c r="H82" s="72"/>
      <c r="I82" s="31">
        <f>ROUND(F82,0)+5000</f>
        <v>7464</v>
      </c>
      <c r="J82" s="31">
        <f t="shared" si="39"/>
        <v>5000</v>
      </c>
      <c r="K82" s="72" t="s">
        <v>226</v>
      </c>
      <c r="L82" s="31">
        <f>ROUND(I82,0)</f>
        <v>7464</v>
      </c>
      <c r="M82" s="31">
        <f t="shared" si="40"/>
        <v>0</v>
      </c>
      <c r="N82" s="72"/>
    </row>
    <row r="83" spans="1:14" ht="28.9" hidden="1" customHeight="1" outlineLevel="1" x14ac:dyDescent="0.25">
      <c r="B83" s="42"/>
      <c r="C83" s="44" t="s">
        <v>227</v>
      </c>
      <c r="D83" s="69" t="s">
        <v>228</v>
      </c>
      <c r="E83" s="32">
        <v>0</v>
      </c>
      <c r="F83" s="32">
        <f t="shared" si="35"/>
        <v>0</v>
      </c>
      <c r="G83" s="31">
        <f t="shared" si="38"/>
        <v>0</v>
      </c>
      <c r="H83" s="72"/>
      <c r="I83" s="31">
        <f t="shared" ref="I83:I88" si="41">ROUND(F83,0)</f>
        <v>0</v>
      </c>
      <c r="J83" s="31">
        <f t="shared" si="39"/>
        <v>0</v>
      </c>
      <c r="K83" s="72"/>
      <c r="L83" s="31">
        <f t="shared" ref="L83:L88" si="42">ROUND(I83,0)</f>
        <v>0</v>
      </c>
      <c r="M83" s="31">
        <f t="shared" si="40"/>
        <v>0</v>
      </c>
      <c r="N83" s="72"/>
    </row>
    <row r="84" spans="1:14" hidden="1" outlineLevel="1" x14ac:dyDescent="0.25">
      <c r="B84" s="42"/>
      <c r="C84" s="44" t="s">
        <v>229</v>
      </c>
      <c r="D84" s="69" t="s">
        <v>230</v>
      </c>
      <c r="E84" s="32">
        <v>0</v>
      </c>
      <c r="F84" s="32">
        <f t="shared" si="35"/>
        <v>0</v>
      </c>
      <c r="G84" s="31">
        <f t="shared" si="38"/>
        <v>0</v>
      </c>
      <c r="H84" s="72"/>
      <c r="I84" s="31">
        <f t="shared" si="41"/>
        <v>0</v>
      </c>
      <c r="J84" s="31">
        <f t="shared" si="39"/>
        <v>0</v>
      </c>
      <c r="K84" s="72"/>
      <c r="L84" s="31">
        <f t="shared" si="42"/>
        <v>0</v>
      </c>
      <c r="M84" s="31">
        <f t="shared" si="40"/>
        <v>0</v>
      </c>
      <c r="N84" s="72"/>
    </row>
    <row r="85" spans="1:14" ht="30" collapsed="1" x14ac:dyDescent="0.25">
      <c r="B85" s="42"/>
      <c r="C85" s="44" t="s">
        <v>231</v>
      </c>
      <c r="D85" s="69" t="s">
        <v>232</v>
      </c>
      <c r="E85" s="32">
        <v>14100</v>
      </c>
      <c r="F85" s="32">
        <f t="shared" si="35"/>
        <v>14100</v>
      </c>
      <c r="G85" s="31">
        <f t="shared" si="38"/>
        <v>0</v>
      </c>
      <c r="H85" s="72"/>
      <c r="I85" s="31">
        <f t="shared" si="41"/>
        <v>14100</v>
      </c>
      <c r="J85" s="31">
        <f t="shared" si="39"/>
        <v>0</v>
      </c>
      <c r="K85" s="72"/>
      <c r="L85" s="31">
        <f t="shared" si="42"/>
        <v>14100</v>
      </c>
      <c r="M85" s="31">
        <f t="shared" si="40"/>
        <v>0</v>
      </c>
      <c r="N85" s="72"/>
    </row>
    <row r="86" spans="1:14" x14ac:dyDescent="0.25">
      <c r="B86" s="42"/>
      <c r="C86" s="44" t="s">
        <v>233</v>
      </c>
      <c r="D86" s="75" t="s">
        <v>234</v>
      </c>
      <c r="E86" s="32">
        <v>382739</v>
      </c>
      <c r="F86" s="32">
        <f t="shared" si="35"/>
        <v>382739</v>
      </c>
      <c r="G86" s="31">
        <f t="shared" si="38"/>
        <v>0</v>
      </c>
      <c r="H86" s="72"/>
      <c r="I86" s="31">
        <f t="shared" si="41"/>
        <v>382739</v>
      </c>
      <c r="J86" s="31">
        <f t="shared" si="39"/>
        <v>0</v>
      </c>
      <c r="K86" s="72"/>
      <c r="L86" s="31">
        <f t="shared" si="42"/>
        <v>382739</v>
      </c>
      <c r="M86" s="31">
        <f t="shared" si="40"/>
        <v>0</v>
      </c>
      <c r="N86" s="72"/>
    </row>
    <row r="87" spans="1:14" ht="16.899999999999999" customHeight="1" x14ac:dyDescent="0.25">
      <c r="B87" s="42"/>
      <c r="C87" s="44" t="s">
        <v>235</v>
      </c>
      <c r="D87" s="75" t="s">
        <v>236</v>
      </c>
      <c r="E87" s="32">
        <v>297245</v>
      </c>
      <c r="F87" s="32">
        <f t="shared" si="35"/>
        <v>297245</v>
      </c>
      <c r="G87" s="31">
        <f t="shared" si="38"/>
        <v>0</v>
      </c>
      <c r="H87" s="72"/>
      <c r="I87" s="31">
        <f t="shared" si="41"/>
        <v>297245</v>
      </c>
      <c r="J87" s="31">
        <f t="shared" si="39"/>
        <v>0</v>
      </c>
      <c r="K87" s="72"/>
      <c r="L87" s="31">
        <f t="shared" si="42"/>
        <v>297245</v>
      </c>
      <c r="M87" s="31">
        <f t="shared" si="40"/>
        <v>0</v>
      </c>
      <c r="N87" s="72"/>
    </row>
    <row r="88" spans="1:14" hidden="1" outlineLevel="1" x14ac:dyDescent="0.25">
      <c r="B88" s="28" t="s">
        <v>237</v>
      </c>
      <c r="C88" s="29" t="s">
        <v>238</v>
      </c>
      <c r="D88" s="76" t="s">
        <v>239</v>
      </c>
      <c r="E88" s="32">
        <v>0</v>
      </c>
      <c r="F88" s="32">
        <f t="shared" si="35"/>
        <v>0</v>
      </c>
      <c r="G88" s="31">
        <f t="shared" si="38"/>
        <v>0</v>
      </c>
      <c r="H88" s="33"/>
      <c r="I88" s="31">
        <f t="shared" si="41"/>
        <v>0</v>
      </c>
      <c r="J88" s="31">
        <f t="shared" si="39"/>
        <v>0</v>
      </c>
      <c r="K88" s="33"/>
      <c r="L88" s="31">
        <f t="shared" si="42"/>
        <v>0</v>
      </c>
      <c r="M88" s="31">
        <f t="shared" si="40"/>
        <v>0</v>
      </c>
      <c r="N88" s="33"/>
    </row>
    <row r="89" spans="1:14" collapsed="1" x14ac:dyDescent="0.25">
      <c r="C89" s="51" t="s">
        <v>240</v>
      </c>
      <c r="D89" s="36" t="s">
        <v>241</v>
      </c>
      <c r="E89" s="38">
        <v>295000</v>
      </c>
      <c r="F89" s="38">
        <f>F90+F91</f>
        <v>295000</v>
      </c>
      <c r="G89" s="37">
        <f t="shared" si="38"/>
        <v>0</v>
      </c>
      <c r="H89" s="39"/>
      <c r="I89" s="37">
        <f>I90+I91</f>
        <v>295000</v>
      </c>
      <c r="J89" s="37">
        <f t="shared" si="39"/>
        <v>0</v>
      </c>
      <c r="K89" s="39"/>
      <c r="L89" s="37">
        <f>L90+L91</f>
        <v>295000</v>
      </c>
      <c r="M89" s="37">
        <f t="shared" si="40"/>
        <v>0</v>
      </c>
      <c r="N89" s="39"/>
    </row>
    <row r="90" spans="1:14" ht="27.6" customHeight="1" x14ac:dyDescent="0.25">
      <c r="B90" s="1" t="s">
        <v>242</v>
      </c>
      <c r="C90" s="29" t="s">
        <v>243</v>
      </c>
      <c r="D90" s="30" t="s">
        <v>244</v>
      </c>
      <c r="E90" s="32">
        <v>295000</v>
      </c>
      <c r="F90" s="32">
        <f>ROUND(E90,0)</f>
        <v>295000</v>
      </c>
      <c r="G90" s="31">
        <f t="shared" si="38"/>
        <v>0</v>
      </c>
      <c r="H90" s="49"/>
      <c r="I90" s="31">
        <f>ROUND(F90,0)</f>
        <v>295000</v>
      </c>
      <c r="J90" s="31">
        <f t="shared" si="39"/>
        <v>0</v>
      </c>
      <c r="K90" s="49"/>
      <c r="L90" s="31">
        <f>ROUND(I90,0)</f>
        <v>295000</v>
      </c>
      <c r="M90" s="31">
        <f t="shared" si="40"/>
        <v>0</v>
      </c>
      <c r="N90" s="49"/>
    </row>
    <row r="91" spans="1:14" ht="16.149999999999999" customHeight="1" x14ac:dyDescent="0.25">
      <c r="B91" s="1" t="s">
        <v>245</v>
      </c>
      <c r="C91" s="29" t="s">
        <v>246</v>
      </c>
      <c r="D91" s="30" t="s">
        <v>247</v>
      </c>
      <c r="E91" s="32">
        <v>0</v>
      </c>
      <c r="F91" s="32">
        <f>ROUND(E91,0)</f>
        <v>0</v>
      </c>
      <c r="G91" s="31">
        <f t="shared" si="38"/>
        <v>0</v>
      </c>
      <c r="H91" s="33"/>
      <c r="I91" s="31">
        <f>ROUND(F91,0)</f>
        <v>0</v>
      </c>
      <c r="J91" s="31">
        <f t="shared" si="39"/>
        <v>0</v>
      </c>
      <c r="K91" s="33"/>
      <c r="L91" s="31">
        <f>ROUND(I91,0)</f>
        <v>0</v>
      </c>
      <c r="M91" s="31">
        <f t="shared" si="40"/>
        <v>0</v>
      </c>
      <c r="N91" s="33"/>
    </row>
    <row r="92" spans="1:14" ht="35.450000000000003" customHeight="1" x14ac:dyDescent="0.25">
      <c r="C92" s="51" t="s">
        <v>248</v>
      </c>
      <c r="D92" s="36" t="s">
        <v>249</v>
      </c>
      <c r="E92" s="38">
        <v>4234051</v>
      </c>
      <c r="F92" s="38">
        <f t="shared" ref="F92" si="43">F93+F96+F99+F103+F107</f>
        <v>4234051</v>
      </c>
      <c r="G92" s="37">
        <f t="shared" si="38"/>
        <v>0</v>
      </c>
      <c r="H92" s="39"/>
      <c r="I92" s="37">
        <f t="shared" ref="I92" si="44">I93+I96+I99+I103+I107</f>
        <v>4234051</v>
      </c>
      <c r="J92" s="37">
        <f t="shared" si="39"/>
        <v>0</v>
      </c>
      <c r="K92" s="39"/>
      <c r="L92" s="37">
        <f t="shared" ref="L92" si="45">L93+L96+L99+L103+L107</f>
        <v>3970551</v>
      </c>
      <c r="M92" s="37">
        <f t="shared" si="40"/>
        <v>-263500</v>
      </c>
      <c r="N92" s="39"/>
    </row>
    <row r="93" spans="1:14" x14ac:dyDescent="0.25">
      <c r="A93" s="1" t="s">
        <v>19</v>
      </c>
      <c r="B93" s="1" t="s">
        <v>250</v>
      </c>
      <c r="C93" s="29" t="s">
        <v>251</v>
      </c>
      <c r="D93" s="30" t="s">
        <v>252</v>
      </c>
      <c r="E93" s="32">
        <v>149000</v>
      </c>
      <c r="F93" s="32">
        <f>SUM(F94:F95)</f>
        <v>149000</v>
      </c>
      <c r="G93" s="31">
        <f t="shared" si="38"/>
        <v>0</v>
      </c>
      <c r="H93" s="33"/>
      <c r="I93" s="31">
        <f>SUM(I94:I95)</f>
        <v>149000</v>
      </c>
      <c r="J93" s="31">
        <f t="shared" si="39"/>
        <v>0</v>
      </c>
      <c r="K93" s="33"/>
      <c r="L93" s="31">
        <f>SUM(L94:L95)</f>
        <v>149000</v>
      </c>
      <c r="M93" s="31">
        <f t="shared" si="40"/>
        <v>0</v>
      </c>
      <c r="N93" s="33"/>
    </row>
    <row r="94" spans="1:14" ht="14.25" customHeight="1" x14ac:dyDescent="0.25">
      <c r="B94" s="1" t="s">
        <v>253</v>
      </c>
      <c r="C94" s="77" t="s">
        <v>254</v>
      </c>
      <c r="D94" s="78" t="s">
        <v>255</v>
      </c>
      <c r="E94" s="32">
        <v>24000</v>
      </c>
      <c r="F94" s="32">
        <f>ROUND(E94,0)</f>
        <v>24000</v>
      </c>
      <c r="G94" s="31">
        <f t="shared" si="38"/>
        <v>0</v>
      </c>
      <c r="H94" s="40"/>
      <c r="I94" s="31">
        <f>ROUND(F94,0)</f>
        <v>24000</v>
      </c>
      <c r="J94" s="31">
        <f t="shared" si="39"/>
        <v>0</v>
      </c>
      <c r="K94" s="40"/>
      <c r="L94" s="31">
        <f>ROUND(I94,0)</f>
        <v>24000</v>
      </c>
      <c r="M94" s="31">
        <f t="shared" si="40"/>
        <v>0</v>
      </c>
      <c r="N94" s="40"/>
    </row>
    <row r="95" spans="1:14" ht="15.6" customHeight="1" x14ac:dyDescent="0.25">
      <c r="B95" s="1" t="s">
        <v>256</v>
      </c>
      <c r="C95" s="77" t="s">
        <v>257</v>
      </c>
      <c r="D95" s="78" t="s">
        <v>258</v>
      </c>
      <c r="E95" s="32">
        <v>125000</v>
      </c>
      <c r="F95" s="32">
        <f>ROUND(E95,0)</f>
        <v>125000</v>
      </c>
      <c r="G95" s="31">
        <f t="shared" si="38"/>
        <v>0</v>
      </c>
      <c r="H95" s="40"/>
      <c r="I95" s="31">
        <f>ROUND(F95,0)</f>
        <v>125000</v>
      </c>
      <c r="J95" s="31">
        <f t="shared" si="39"/>
        <v>0</v>
      </c>
      <c r="K95" s="40"/>
      <c r="L95" s="31">
        <f>ROUND(I95,0)</f>
        <v>125000</v>
      </c>
      <c r="M95" s="31">
        <f t="shared" si="40"/>
        <v>0</v>
      </c>
      <c r="N95" s="40"/>
    </row>
    <row r="96" spans="1:14" ht="13.9" customHeight="1" x14ac:dyDescent="0.25">
      <c r="C96" s="29" t="s">
        <v>259</v>
      </c>
      <c r="D96" s="30" t="s">
        <v>260</v>
      </c>
      <c r="E96" s="32">
        <v>0</v>
      </c>
      <c r="F96" s="32">
        <f>F97+F98</f>
        <v>0</v>
      </c>
      <c r="G96" s="31">
        <f t="shared" si="38"/>
        <v>0</v>
      </c>
      <c r="H96" s="79"/>
      <c r="I96" s="31">
        <f>I97+I98</f>
        <v>0</v>
      </c>
      <c r="J96" s="31">
        <f t="shared" si="39"/>
        <v>0</v>
      </c>
      <c r="K96" s="79"/>
      <c r="L96" s="31">
        <f>L97+L98</f>
        <v>0</v>
      </c>
      <c r="M96" s="31">
        <f t="shared" si="40"/>
        <v>0</v>
      </c>
      <c r="N96" s="79"/>
    </row>
    <row r="97" spans="1:14" x14ac:dyDescent="0.25">
      <c r="C97" s="77" t="s">
        <v>261</v>
      </c>
      <c r="D97" s="78" t="s">
        <v>262</v>
      </c>
      <c r="E97" s="32">
        <v>0</v>
      </c>
      <c r="F97" s="32"/>
      <c r="G97" s="31">
        <f t="shared" si="38"/>
        <v>0</v>
      </c>
      <c r="H97" s="40"/>
      <c r="I97" s="31"/>
      <c r="J97" s="31">
        <f t="shared" si="39"/>
        <v>0</v>
      </c>
      <c r="K97" s="40"/>
      <c r="L97" s="31"/>
      <c r="M97" s="31">
        <f t="shared" si="40"/>
        <v>0</v>
      </c>
      <c r="N97" s="40"/>
    </row>
    <row r="98" spans="1:14" ht="30" customHeight="1" x14ac:dyDescent="0.25">
      <c r="B98" s="64" t="s">
        <v>263</v>
      </c>
      <c r="C98" s="77" t="s">
        <v>264</v>
      </c>
      <c r="D98" s="69" t="s">
        <v>265</v>
      </c>
      <c r="E98" s="32">
        <v>0</v>
      </c>
      <c r="F98" s="32">
        <f>ROUND(E98,0)</f>
        <v>0</v>
      </c>
      <c r="G98" s="31">
        <f t="shared" si="38"/>
        <v>0</v>
      </c>
      <c r="H98" s="40"/>
      <c r="I98" s="31">
        <f>ROUND(F98,0)</f>
        <v>0</v>
      </c>
      <c r="J98" s="31">
        <f t="shared" si="39"/>
        <v>0</v>
      </c>
      <c r="K98" s="40"/>
      <c r="L98" s="31">
        <f>ROUND(I98,0)</f>
        <v>0</v>
      </c>
      <c r="M98" s="31">
        <f t="shared" si="40"/>
        <v>0</v>
      </c>
      <c r="N98" s="40"/>
    </row>
    <row r="99" spans="1:14" x14ac:dyDescent="0.25">
      <c r="A99" s="1" t="s">
        <v>19</v>
      </c>
      <c r="B99" s="1" t="s">
        <v>266</v>
      </c>
      <c r="C99" s="29" t="s">
        <v>267</v>
      </c>
      <c r="D99" s="30" t="s">
        <v>268</v>
      </c>
      <c r="E99" s="32">
        <v>157000</v>
      </c>
      <c r="F99" s="32">
        <f>SUM(F100:F102)</f>
        <v>157000</v>
      </c>
      <c r="G99" s="31">
        <f t="shared" si="38"/>
        <v>0</v>
      </c>
      <c r="H99" s="33"/>
      <c r="I99" s="31">
        <f>SUM(I100:I102)</f>
        <v>157000</v>
      </c>
      <c r="J99" s="31">
        <f t="shared" si="39"/>
        <v>0</v>
      </c>
      <c r="K99" s="33"/>
      <c r="L99" s="31">
        <f>SUM(L100:L102)</f>
        <v>157000</v>
      </c>
      <c r="M99" s="31">
        <f t="shared" si="40"/>
        <v>0</v>
      </c>
      <c r="N99" s="33"/>
    </row>
    <row r="100" spans="1:14" ht="15.75" customHeight="1" x14ac:dyDescent="0.25">
      <c r="B100" s="1" t="s">
        <v>269</v>
      </c>
      <c r="C100" s="77" t="s">
        <v>270</v>
      </c>
      <c r="D100" s="78" t="s">
        <v>271</v>
      </c>
      <c r="E100" s="32">
        <v>120000</v>
      </c>
      <c r="F100" s="32">
        <f>ROUND(E100,0)</f>
        <v>120000</v>
      </c>
      <c r="G100" s="31">
        <f t="shared" si="38"/>
        <v>0</v>
      </c>
      <c r="H100" s="49"/>
      <c r="I100" s="31">
        <f>ROUND(F100,0)</f>
        <v>120000</v>
      </c>
      <c r="J100" s="31">
        <f t="shared" si="39"/>
        <v>0</v>
      </c>
      <c r="K100" s="49"/>
      <c r="L100" s="31">
        <f>ROUND(I100,0)</f>
        <v>120000</v>
      </c>
      <c r="M100" s="31">
        <f t="shared" si="40"/>
        <v>0</v>
      </c>
      <c r="N100" s="49"/>
    </row>
    <row r="101" spans="1:14" x14ac:dyDescent="0.25">
      <c r="B101" s="1" t="s">
        <v>272</v>
      </c>
      <c r="C101" s="77" t="s">
        <v>273</v>
      </c>
      <c r="D101" s="78" t="s">
        <v>274</v>
      </c>
      <c r="E101" s="32">
        <v>36000</v>
      </c>
      <c r="F101" s="32">
        <f>ROUND(E101,0)</f>
        <v>36000</v>
      </c>
      <c r="G101" s="31">
        <f t="shared" si="38"/>
        <v>0</v>
      </c>
      <c r="H101" s="33"/>
      <c r="I101" s="31">
        <f>ROUND(F101,0)</f>
        <v>36000</v>
      </c>
      <c r="J101" s="31">
        <f t="shared" si="39"/>
        <v>0</v>
      </c>
      <c r="K101" s="33"/>
      <c r="L101" s="31">
        <f>ROUND(I101,0)</f>
        <v>36000</v>
      </c>
      <c r="M101" s="31">
        <f t="shared" si="40"/>
        <v>0</v>
      </c>
      <c r="N101" s="33"/>
    </row>
    <row r="102" spans="1:14" x14ac:dyDescent="0.25">
      <c r="C102" s="77" t="s">
        <v>275</v>
      </c>
      <c r="D102" s="69" t="s">
        <v>276</v>
      </c>
      <c r="E102" s="32">
        <v>1000</v>
      </c>
      <c r="F102" s="32">
        <f>ROUND(E102,0)</f>
        <v>1000</v>
      </c>
      <c r="G102" s="31">
        <f t="shared" si="38"/>
        <v>0</v>
      </c>
      <c r="H102" s="33"/>
      <c r="I102" s="31">
        <f>ROUND(F102,0)</f>
        <v>1000</v>
      </c>
      <c r="J102" s="31">
        <f t="shared" si="39"/>
        <v>0</v>
      </c>
      <c r="K102" s="33"/>
      <c r="L102" s="31">
        <f>ROUND(I102,0)</f>
        <v>1000</v>
      </c>
      <c r="M102" s="31">
        <f t="shared" si="40"/>
        <v>0</v>
      </c>
      <c r="N102" s="33"/>
    </row>
    <row r="103" spans="1:14" ht="25.15" customHeight="1" x14ac:dyDescent="0.25">
      <c r="A103" s="1" t="s">
        <v>19</v>
      </c>
      <c r="B103" s="1" t="s">
        <v>277</v>
      </c>
      <c r="C103" s="29" t="s">
        <v>278</v>
      </c>
      <c r="D103" s="30" t="s">
        <v>279</v>
      </c>
      <c r="E103" s="32">
        <v>3826051</v>
      </c>
      <c r="F103" s="32">
        <f t="shared" ref="F103" si="46">SUM(F104:F106)</f>
        <v>3826051</v>
      </c>
      <c r="G103" s="31">
        <f t="shared" si="38"/>
        <v>0</v>
      </c>
      <c r="H103" s="49"/>
      <c r="I103" s="31">
        <f t="shared" ref="I103" si="47">SUM(I104:I106)</f>
        <v>3826051</v>
      </c>
      <c r="J103" s="31">
        <f t="shared" si="39"/>
        <v>0</v>
      </c>
      <c r="K103" s="49"/>
      <c r="L103" s="31">
        <f t="shared" ref="L103" si="48">SUM(L104:L106)</f>
        <v>3562551</v>
      </c>
      <c r="M103" s="31">
        <f t="shared" si="40"/>
        <v>-263500</v>
      </c>
      <c r="N103" s="49"/>
    </row>
    <row r="104" spans="1:14" ht="16.5" customHeight="1" x14ac:dyDescent="0.25">
      <c r="A104" s="64" t="s">
        <v>280</v>
      </c>
      <c r="C104" s="77" t="s">
        <v>281</v>
      </c>
      <c r="D104" s="78" t="s">
        <v>279</v>
      </c>
      <c r="E104" s="32">
        <v>110000</v>
      </c>
      <c r="F104" s="32">
        <f>ROUND(E104,0)</f>
        <v>110000</v>
      </c>
      <c r="G104" s="31">
        <f t="shared" si="38"/>
        <v>0</v>
      </c>
      <c r="H104" s="33"/>
      <c r="I104" s="31">
        <f>ROUND(F104,0)</f>
        <v>110000</v>
      </c>
      <c r="J104" s="31">
        <f t="shared" si="39"/>
        <v>0</v>
      </c>
      <c r="K104" s="33"/>
      <c r="L104" s="31">
        <f>ROUND(I104,0)</f>
        <v>110000</v>
      </c>
      <c r="M104" s="31">
        <f t="shared" si="40"/>
        <v>0</v>
      </c>
      <c r="N104" s="33"/>
    </row>
    <row r="105" spans="1:14" ht="16.5" customHeight="1" x14ac:dyDescent="0.25">
      <c r="C105" s="77" t="s">
        <v>282</v>
      </c>
      <c r="D105" s="78" t="s">
        <v>283</v>
      </c>
      <c r="E105" s="32">
        <v>2500</v>
      </c>
      <c r="F105" s="32">
        <f>ROUND(E105,0)</f>
        <v>2500</v>
      </c>
      <c r="G105" s="31">
        <f t="shared" si="38"/>
        <v>0</v>
      </c>
      <c r="H105" s="33"/>
      <c r="I105" s="31">
        <f>ROUND(F105,0)</f>
        <v>2500</v>
      </c>
      <c r="J105" s="31">
        <f t="shared" si="39"/>
        <v>0</v>
      </c>
      <c r="K105" s="33"/>
      <c r="L105" s="31">
        <f>ROUND(I105,0)</f>
        <v>2500</v>
      </c>
      <c r="M105" s="31">
        <f t="shared" si="40"/>
        <v>0</v>
      </c>
      <c r="N105" s="33"/>
    </row>
    <row r="106" spans="1:14" ht="28.9" customHeight="1" x14ac:dyDescent="0.25">
      <c r="C106" s="77" t="s">
        <v>284</v>
      </c>
      <c r="D106" s="78" t="s">
        <v>285</v>
      </c>
      <c r="E106" s="32">
        <v>3713551</v>
      </c>
      <c r="F106" s="32">
        <f>ROUND(E106,0)</f>
        <v>3713551</v>
      </c>
      <c r="G106" s="31">
        <f t="shared" si="38"/>
        <v>0</v>
      </c>
      <c r="H106" s="33"/>
      <c r="I106" s="31">
        <f>ROUND(F106,0)</f>
        <v>3713551</v>
      </c>
      <c r="J106" s="31">
        <f t="shared" si="39"/>
        <v>0</v>
      </c>
      <c r="K106" s="33"/>
      <c r="L106" s="31">
        <f>ROUND(I106,0)-263500</f>
        <v>3450051</v>
      </c>
      <c r="M106" s="31">
        <f t="shared" si="40"/>
        <v>-263500</v>
      </c>
      <c r="N106" s="49" t="s">
        <v>180</v>
      </c>
    </row>
    <row r="107" spans="1:14" ht="18" customHeight="1" thickBot="1" x14ac:dyDescent="0.3">
      <c r="A107" s="1" t="s">
        <v>19</v>
      </c>
      <c r="B107" s="42" t="s">
        <v>286</v>
      </c>
      <c r="C107" s="29" t="s">
        <v>287</v>
      </c>
      <c r="D107" s="30" t="s">
        <v>288</v>
      </c>
      <c r="E107" s="32">
        <v>102000</v>
      </c>
      <c r="F107" s="32">
        <f>ROUND(E107,0)</f>
        <v>102000</v>
      </c>
      <c r="G107" s="31">
        <f t="shared" si="38"/>
        <v>0</v>
      </c>
      <c r="H107" s="33"/>
      <c r="I107" s="31">
        <f>ROUND(F107,0)</f>
        <v>102000</v>
      </c>
      <c r="J107" s="31">
        <f t="shared" si="39"/>
        <v>0</v>
      </c>
      <c r="K107" s="33"/>
      <c r="L107" s="31">
        <f>ROUND(I107,0)</f>
        <v>102000</v>
      </c>
      <c r="M107" s="31">
        <f t="shared" si="40"/>
        <v>0</v>
      </c>
      <c r="N107" s="33"/>
    </row>
    <row r="108" spans="1:14" ht="15" customHeight="1" thickBot="1" x14ac:dyDescent="0.3">
      <c r="C108" s="81"/>
      <c r="D108" s="82" t="s">
        <v>289</v>
      </c>
      <c r="E108" s="84">
        <v>46153371.490000002</v>
      </c>
      <c r="F108" s="84">
        <f t="shared" ref="F108" si="49">F7+F11+F14+F17+F20+F23+F36+F39+F43+F44+F89+F92</f>
        <v>46211727</v>
      </c>
      <c r="G108" s="83">
        <f t="shared" si="38"/>
        <v>58355.509999997914</v>
      </c>
      <c r="H108" s="85"/>
      <c r="I108" s="83">
        <f t="shared" ref="I108" si="50">I7+I11+I14+I17+I20+I23+I36+I39+I43+I44+I89+I92</f>
        <v>46579708</v>
      </c>
      <c r="J108" s="83">
        <f t="shared" si="39"/>
        <v>367981</v>
      </c>
      <c r="K108" s="85"/>
      <c r="L108" s="83">
        <f t="shared" ref="L108" si="51">L7+L11+L14+L17+L20+L23+L36+L39+L43+L44+L89+L92</f>
        <v>46656159</v>
      </c>
      <c r="M108" s="83">
        <f t="shared" si="40"/>
        <v>76451</v>
      </c>
      <c r="N108" s="85"/>
    </row>
    <row r="109" spans="1:14" ht="15.75" thickBot="1" x14ac:dyDescent="0.3">
      <c r="C109" s="86" t="s">
        <v>290</v>
      </c>
      <c r="D109" s="87" t="s">
        <v>291</v>
      </c>
      <c r="E109" s="89">
        <v>7741521.0000000009</v>
      </c>
      <c r="F109" s="89">
        <f>SUM(F110:F111)</f>
        <v>7741521</v>
      </c>
      <c r="G109" s="88">
        <f t="shared" si="38"/>
        <v>0</v>
      </c>
      <c r="H109" s="90"/>
      <c r="I109" s="88">
        <f>SUM(I110:I111)</f>
        <v>7741521</v>
      </c>
      <c r="J109" s="88">
        <f t="shared" si="39"/>
        <v>0</v>
      </c>
      <c r="K109" s="90"/>
      <c r="L109" s="88">
        <f>SUM(L110:L111)</f>
        <v>7741521</v>
      </c>
      <c r="M109" s="88">
        <f t="shared" si="40"/>
        <v>0</v>
      </c>
      <c r="N109" s="90"/>
    </row>
    <row r="110" spans="1:14" ht="17.25" customHeight="1" x14ac:dyDescent="0.25">
      <c r="C110" s="29" t="s">
        <v>292</v>
      </c>
      <c r="D110" s="30" t="s">
        <v>293</v>
      </c>
      <c r="E110" s="32">
        <v>1454963.94</v>
      </c>
      <c r="F110" s="32">
        <f>ROUND(E110,0)</f>
        <v>1454964</v>
      </c>
      <c r="G110" s="31">
        <f t="shared" si="38"/>
        <v>6.0000000055879354E-2</v>
      </c>
      <c r="H110" s="49"/>
      <c r="I110" s="31">
        <f>ROUND(F110,0)</f>
        <v>1454964</v>
      </c>
      <c r="J110" s="31">
        <f t="shared" si="39"/>
        <v>0</v>
      </c>
      <c r="K110" s="49"/>
      <c r="L110" s="31">
        <f>ROUND(I110,0)</f>
        <v>1454964</v>
      </c>
      <c r="M110" s="31">
        <f t="shared" si="40"/>
        <v>0</v>
      </c>
      <c r="N110" s="49"/>
    </row>
    <row r="111" spans="1:14" x14ac:dyDescent="0.25">
      <c r="C111" s="29" t="s">
        <v>294</v>
      </c>
      <c r="D111" s="30" t="s">
        <v>295</v>
      </c>
      <c r="E111" s="32">
        <v>6286556.8600000013</v>
      </c>
      <c r="F111" s="32">
        <f>ROUND(E111,0)</f>
        <v>6286557</v>
      </c>
      <c r="G111" s="31">
        <f t="shared" si="38"/>
        <v>0.1399999987334013</v>
      </c>
      <c r="H111" s="33"/>
      <c r="I111" s="31">
        <f>ROUND(F111,0)</f>
        <v>6286557</v>
      </c>
      <c r="J111" s="31">
        <f t="shared" si="39"/>
        <v>0</v>
      </c>
      <c r="K111" s="33"/>
      <c r="L111" s="31">
        <f>ROUND(I111,0)</f>
        <v>6286557</v>
      </c>
      <c r="M111" s="31">
        <f t="shared" si="40"/>
        <v>0</v>
      </c>
      <c r="N111" s="33"/>
    </row>
    <row r="112" spans="1:14" x14ac:dyDescent="0.25">
      <c r="C112" s="51" t="s">
        <v>296</v>
      </c>
      <c r="D112" s="91" t="s">
        <v>297</v>
      </c>
      <c r="E112" s="93">
        <v>4267403.7422000002</v>
      </c>
      <c r="F112" s="93">
        <f>SUM(F113:F125)</f>
        <v>4267404</v>
      </c>
      <c r="G112" s="37">
        <f t="shared" si="38"/>
        <v>0.25779999978840351</v>
      </c>
      <c r="H112" s="39"/>
      <c r="I112" s="92">
        <f>SUM(I113:I125)</f>
        <v>4393404</v>
      </c>
      <c r="J112" s="37">
        <f t="shared" si="39"/>
        <v>126000</v>
      </c>
      <c r="K112" s="39"/>
      <c r="L112" s="92">
        <f>SUM(L113:L125)</f>
        <v>4477904</v>
      </c>
      <c r="M112" s="37">
        <f t="shared" si="40"/>
        <v>84500</v>
      </c>
      <c r="N112" s="39"/>
    </row>
    <row r="113" spans="1:14" ht="30" x14ac:dyDescent="0.25">
      <c r="A113" s="64"/>
      <c r="B113" s="64"/>
      <c r="C113" s="77" t="s">
        <v>298</v>
      </c>
      <c r="D113" s="94" t="s">
        <v>228</v>
      </c>
      <c r="E113" s="32">
        <v>59922</v>
      </c>
      <c r="F113" s="32">
        <f t="shared" ref="F113:F125" si="52">ROUND(E113,0)</f>
        <v>59922</v>
      </c>
      <c r="G113" s="96">
        <f t="shared" si="38"/>
        <v>0</v>
      </c>
      <c r="H113" s="43"/>
      <c r="I113" s="31">
        <f t="shared" ref="I113:I124" si="53">ROUND(F113,0)</f>
        <v>59922</v>
      </c>
      <c r="J113" s="96">
        <f t="shared" si="39"/>
        <v>0</v>
      </c>
      <c r="K113" s="43"/>
      <c r="L113" s="31">
        <f t="shared" ref="L113:L117" si="54">ROUND(I113,0)</f>
        <v>59922</v>
      </c>
      <c r="M113" s="96">
        <f t="shared" si="40"/>
        <v>0</v>
      </c>
      <c r="N113" s="43"/>
    </row>
    <row r="114" spans="1:14" x14ac:dyDescent="0.25">
      <c r="A114" s="64"/>
      <c r="B114" s="64"/>
      <c r="C114" s="77" t="s">
        <v>299</v>
      </c>
      <c r="D114" s="94" t="s">
        <v>230</v>
      </c>
      <c r="E114" s="32">
        <v>207089</v>
      </c>
      <c r="F114" s="32">
        <f t="shared" si="52"/>
        <v>207089</v>
      </c>
      <c r="G114" s="96">
        <f t="shared" si="38"/>
        <v>0</v>
      </c>
      <c r="H114" s="43"/>
      <c r="I114" s="31">
        <f t="shared" si="53"/>
        <v>207089</v>
      </c>
      <c r="J114" s="96">
        <f t="shared" si="39"/>
        <v>0</v>
      </c>
      <c r="K114" s="43"/>
      <c r="L114" s="31">
        <f t="shared" si="54"/>
        <v>207089</v>
      </c>
      <c r="M114" s="96">
        <f t="shared" si="40"/>
        <v>0</v>
      </c>
      <c r="N114" s="43"/>
    </row>
    <row r="115" spans="1:14" ht="44.45" customHeight="1" x14ac:dyDescent="0.25">
      <c r="A115" s="64"/>
      <c r="B115" s="64"/>
      <c r="C115" s="77" t="s">
        <v>300</v>
      </c>
      <c r="D115" s="94" t="s">
        <v>301</v>
      </c>
      <c r="E115" s="32">
        <v>320141.35220000002</v>
      </c>
      <c r="F115" s="32">
        <f t="shared" si="52"/>
        <v>320141</v>
      </c>
      <c r="G115" s="96">
        <f t="shared" si="38"/>
        <v>-0.35220000002300367</v>
      </c>
      <c r="H115" s="43"/>
      <c r="I115" s="31">
        <f t="shared" si="53"/>
        <v>320141</v>
      </c>
      <c r="J115" s="96">
        <f t="shared" si="39"/>
        <v>0</v>
      </c>
      <c r="K115" s="43"/>
      <c r="L115" s="31">
        <f t="shared" si="54"/>
        <v>320141</v>
      </c>
      <c r="M115" s="96">
        <f t="shared" si="40"/>
        <v>0</v>
      </c>
      <c r="N115" s="43"/>
    </row>
    <row r="116" spans="1:14" ht="30" x14ac:dyDescent="0.25">
      <c r="A116" s="64" t="s">
        <v>191</v>
      </c>
      <c r="B116" s="64" t="s">
        <v>302</v>
      </c>
      <c r="C116" s="77" t="s">
        <v>303</v>
      </c>
      <c r="D116" s="94" t="s">
        <v>304</v>
      </c>
      <c r="E116" s="32">
        <v>624704.49</v>
      </c>
      <c r="F116" s="32">
        <f t="shared" si="52"/>
        <v>624704</v>
      </c>
      <c r="G116" s="96">
        <f t="shared" si="38"/>
        <v>-0.48999999999068677</v>
      </c>
      <c r="H116" s="41"/>
      <c r="I116" s="31">
        <f t="shared" si="53"/>
        <v>624704</v>
      </c>
      <c r="J116" s="96">
        <f t="shared" si="39"/>
        <v>0</v>
      </c>
      <c r="K116" s="41"/>
      <c r="L116" s="31">
        <f t="shared" si="54"/>
        <v>624704</v>
      </c>
      <c r="M116" s="96">
        <f t="shared" si="40"/>
        <v>0</v>
      </c>
      <c r="N116" s="41"/>
    </row>
    <row r="117" spans="1:14" ht="30" customHeight="1" x14ac:dyDescent="0.25">
      <c r="A117" s="64"/>
      <c r="B117" s="64"/>
      <c r="C117" s="77" t="s">
        <v>305</v>
      </c>
      <c r="D117" s="94" t="s">
        <v>196</v>
      </c>
      <c r="E117" s="32">
        <v>37334.9</v>
      </c>
      <c r="F117" s="32">
        <f t="shared" si="52"/>
        <v>37335</v>
      </c>
      <c r="G117" s="96">
        <f t="shared" si="38"/>
        <v>9.9999999998544808E-2</v>
      </c>
      <c r="H117" s="41"/>
      <c r="I117" s="31">
        <f t="shared" si="53"/>
        <v>37335</v>
      </c>
      <c r="J117" s="96">
        <f t="shared" si="39"/>
        <v>0</v>
      </c>
      <c r="K117" s="41"/>
      <c r="L117" s="31">
        <f t="shared" si="54"/>
        <v>37335</v>
      </c>
      <c r="M117" s="96">
        <f t="shared" si="40"/>
        <v>0</v>
      </c>
      <c r="N117" s="41"/>
    </row>
    <row r="118" spans="1:14" x14ac:dyDescent="0.25">
      <c r="B118" s="64"/>
      <c r="C118" s="77" t="s">
        <v>306</v>
      </c>
      <c r="D118" s="94" t="s">
        <v>307</v>
      </c>
      <c r="E118" s="97">
        <v>582946</v>
      </c>
      <c r="F118" s="97">
        <f t="shared" si="52"/>
        <v>582946</v>
      </c>
      <c r="G118" s="98">
        <f t="shared" si="38"/>
        <v>0</v>
      </c>
      <c r="H118" s="99"/>
      <c r="I118" s="95">
        <f>ROUND(F118,0)</f>
        <v>582946</v>
      </c>
      <c r="J118" s="98">
        <f t="shared" si="39"/>
        <v>0</v>
      </c>
      <c r="K118" s="43"/>
      <c r="L118" s="95">
        <f>ROUND(I118,0)</f>
        <v>582946</v>
      </c>
      <c r="M118" s="98">
        <f t="shared" si="40"/>
        <v>0</v>
      </c>
      <c r="N118" s="43"/>
    </row>
    <row r="119" spans="1:14" ht="45" customHeight="1" x14ac:dyDescent="0.25">
      <c r="B119" s="64"/>
      <c r="C119" s="77" t="s">
        <v>308</v>
      </c>
      <c r="D119" s="100" t="s">
        <v>309</v>
      </c>
      <c r="E119" s="102">
        <v>390000</v>
      </c>
      <c r="F119" s="102">
        <f t="shared" si="52"/>
        <v>390000</v>
      </c>
      <c r="G119" s="98">
        <f t="shared" si="38"/>
        <v>0</v>
      </c>
      <c r="H119" s="99"/>
      <c r="I119" s="101">
        <f t="shared" si="53"/>
        <v>390000</v>
      </c>
      <c r="J119" s="98">
        <f t="shared" si="39"/>
        <v>0</v>
      </c>
      <c r="K119" s="41"/>
      <c r="L119" s="101">
        <f t="shared" ref="L119:L124" si="55">ROUND(I119,0)</f>
        <v>390000</v>
      </c>
      <c r="M119" s="98">
        <f t="shared" si="40"/>
        <v>0</v>
      </c>
      <c r="N119" s="41"/>
    </row>
    <row r="120" spans="1:14" ht="16.149999999999999" customHeight="1" x14ac:dyDescent="0.25">
      <c r="B120" s="64"/>
      <c r="C120" s="77" t="s">
        <v>310</v>
      </c>
      <c r="D120" s="103" t="s">
        <v>311</v>
      </c>
      <c r="E120" s="105">
        <v>645000</v>
      </c>
      <c r="F120" s="105">
        <f t="shared" si="52"/>
        <v>645000</v>
      </c>
      <c r="G120" s="104">
        <f t="shared" si="38"/>
        <v>0</v>
      </c>
      <c r="H120" s="106"/>
      <c r="I120" s="104">
        <f t="shared" si="53"/>
        <v>645000</v>
      </c>
      <c r="J120" s="104">
        <f t="shared" si="39"/>
        <v>0</v>
      </c>
      <c r="K120" s="41"/>
      <c r="L120" s="104">
        <f t="shared" si="55"/>
        <v>645000</v>
      </c>
      <c r="M120" s="104">
        <f t="shared" si="40"/>
        <v>0</v>
      </c>
      <c r="N120" s="41"/>
    </row>
    <row r="121" spans="1:14" ht="16.149999999999999" customHeight="1" x14ac:dyDescent="0.25">
      <c r="B121" s="64"/>
      <c r="C121" s="77" t="s">
        <v>312</v>
      </c>
      <c r="D121" s="103" t="s">
        <v>234</v>
      </c>
      <c r="E121" s="105">
        <v>164032</v>
      </c>
      <c r="F121" s="105">
        <f t="shared" si="52"/>
        <v>164032</v>
      </c>
      <c r="G121" s="104">
        <f t="shared" si="38"/>
        <v>0</v>
      </c>
      <c r="H121" s="106"/>
      <c r="I121" s="104">
        <f t="shared" si="53"/>
        <v>164032</v>
      </c>
      <c r="J121" s="104">
        <f t="shared" si="39"/>
        <v>0</v>
      </c>
      <c r="K121" s="41"/>
      <c r="L121" s="104">
        <f t="shared" si="55"/>
        <v>164032</v>
      </c>
      <c r="M121" s="104">
        <f t="shared" si="40"/>
        <v>0</v>
      </c>
      <c r="N121" s="41"/>
    </row>
    <row r="122" spans="1:14" ht="16.899999999999999" customHeight="1" x14ac:dyDescent="0.25">
      <c r="B122" s="64"/>
      <c r="C122" s="77" t="s">
        <v>313</v>
      </c>
      <c r="D122" s="103" t="s">
        <v>236</v>
      </c>
      <c r="E122" s="105">
        <v>907235</v>
      </c>
      <c r="F122" s="105">
        <f t="shared" si="52"/>
        <v>907235</v>
      </c>
      <c r="G122" s="104">
        <f t="shared" si="38"/>
        <v>0</v>
      </c>
      <c r="H122" s="106"/>
      <c r="I122" s="104">
        <f t="shared" si="53"/>
        <v>907235</v>
      </c>
      <c r="J122" s="104">
        <f t="shared" si="39"/>
        <v>0</v>
      </c>
      <c r="K122" s="106"/>
      <c r="L122" s="104">
        <f t="shared" si="55"/>
        <v>907235</v>
      </c>
      <c r="M122" s="104">
        <f t="shared" si="40"/>
        <v>0</v>
      </c>
      <c r="N122" s="106"/>
    </row>
    <row r="123" spans="1:14" ht="55.9" customHeight="1" x14ac:dyDescent="0.25">
      <c r="B123" s="64"/>
      <c r="C123" s="107" t="s">
        <v>314</v>
      </c>
      <c r="D123" s="103" t="s">
        <v>315</v>
      </c>
      <c r="E123" s="105">
        <v>203000</v>
      </c>
      <c r="F123" s="105">
        <f t="shared" si="52"/>
        <v>203000</v>
      </c>
      <c r="G123" s="104">
        <f t="shared" si="38"/>
        <v>0</v>
      </c>
      <c r="H123" s="106"/>
      <c r="I123" s="104">
        <f t="shared" si="53"/>
        <v>203000</v>
      </c>
      <c r="J123" s="104">
        <f t="shared" si="39"/>
        <v>0</v>
      </c>
      <c r="K123" s="106"/>
      <c r="L123" s="104">
        <f>ROUND(I123,0)+84500</f>
        <v>287500</v>
      </c>
      <c r="M123" s="104">
        <f t="shared" si="40"/>
        <v>84500</v>
      </c>
      <c r="N123" s="108" t="s">
        <v>316</v>
      </c>
    </row>
    <row r="124" spans="1:14" ht="28.9" customHeight="1" x14ac:dyDescent="0.25">
      <c r="B124" s="64"/>
      <c r="C124" s="77" t="s">
        <v>317</v>
      </c>
      <c r="D124" s="109" t="s">
        <v>318</v>
      </c>
      <c r="E124" s="97">
        <v>126000</v>
      </c>
      <c r="F124" s="97">
        <f t="shared" si="52"/>
        <v>126000</v>
      </c>
      <c r="G124" s="31">
        <f t="shared" si="38"/>
        <v>0</v>
      </c>
      <c r="H124" s="33"/>
      <c r="I124" s="95">
        <f t="shared" si="53"/>
        <v>126000</v>
      </c>
      <c r="J124" s="31">
        <f t="shared" si="39"/>
        <v>0</v>
      </c>
      <c r="K124" s="33"/>
      <c r="L124" s="95">
        <f t="shared" si="55"/>
        <v>126000</v>
      </c>
      <c r="M124" s="31">
        <f t="shared" si="40"/>
        <v>0</v>
      </c>
      <c r="N124" s="33"/>
    </row>
    <row r="125" spans="1:14" ht="15" customHeight="1" thickBot="1" x14ac:dyDescent="0.3">
      <c r="B125" s="64"/>
      <c r="C125" s="110" t="s">
        <v>319</v>
      </c>
      <c r="D125" s="111" t="s">
        <v>320</v>
      </c>
      <c r="E125" s="113">
        <v>0</v>
      </c>
      <c r="F125" s="113">
        <f t="shared" si="52"/>
        <v>0</v>
      </c>
      <c r="G125" s="112">
        <f t="shared" si="38"/>
        <v>0</v>
      </c>
      <c r="H125" s="114"/>
      <c r="I125" s="112">
        <f>ROUND(F125,0)+126000</f>
        <v>126000</v>
      </c>
      <c r="J125" s="112">
        <f t="shared" si="39"/>
        <v>126000</v>
      </c>
      <c r="K125" s="114" t="s">
        <v>321</v>
      </c>
      <c r="L125" s="112">
        <f>ROUND(I125,0)</f>
        <v>126000</v>
      </c>
      <c r="M125" s="112">
        <f t="shared" si="40"/>
        <v>0</v>
      </c>
      <c r="N125" s="114"/>
    </row>
    <row r="126" spans="1:14" ht="15.75" thickBot="1" x14ac:dyDescent="0.3">
      <c r="C126" s="115"/>
      <c r="D126" s="116" t="s">
        <v>322</v>
      </c>
      <c r="E126" s="89">
        <v>58162296.232200004</v>
      </c>
      <c r="F126" s="89">
        <f t="shared" ref="F126" si="56">F108+F109+F112</f>
        <v>58220652</v>
      </c>
      <c r="G126" s="88">
        <f t="shared" si="38"/>
        <v>58355.76779999584</v>
      </c>
      <c r="H126" s="117"/>
      <c r="I126" s="88">
        <f t="shared" ref="I126" si="57">I108+I109+I112</f>
        <v>58714633</v>
      </c>
      <c r="J126" s="88">
        <f t="shared" si="39"/>
        <v>493981</v>
      </c>
      <c r="K126" s="117"/>
      <c r="L126" s="88">
        <f t="shared" ref="L126" si="58">L108+L109+L112</f>
        <v>58875584</v>
      </c>
      <c r="M126" s="88">
        <f t="shared" si="40"/>
        <v>160951</v>
      </c>
      <c r="N126" s="117"/>
    </row>
    <row r="128" spans="1:14" x14ac:dyDescent="0.25">
      <c r="G128" s="4"/>
      <c r="I128" s="4"/>
      <c r="J128" s="4"/>
      <c r="L128" s="4"/>
      <c r="M128" s="4"/>
    </row>
    <row r="129" spans="2:14" ht="20.25" x14ac:dyDescent="0.3">
      <c r="C129" s="657" t="s">
        <v>323</v>
      </c>
      <c r="D129" s="657"/>
      <c r="G129" s="4"/>
      <c r="I129" s="4"/>
      <c r="J129" s="4"/>
      <c r="L129" s="4"/>
      <c r="M129" s="4"/>
    </row>
    <row r="130" spans="2:14" ht="15.75" thickBot="1" x14ac:dyDescent="0.3">
      <c r="C130" s="658"/>
      <c r="D130" s="658"/>
      <c r="G130" s="119"/>
      <c r="I130" s="119"/>
      <c r="J130" s="119"/>
      <c r="L130" s="119"/>
      <c r="M130" s="119"/>
    </row>
    <row r="131" spans="2:14" ht="47.25" customHeight="1" outlineLevel="1" thickBot="1" x14ac:dyDescent="0.3">
      <c r="C131" s="13" t="s">
        <v>3</v>
      </c>
      <c r="D131" s="14" t="s">
        <v>4</v>
      </c>
      <c r="E131" s="16" t="s">
        <v>6</v>
      </c>
      <c r="F131" s="16" t="s">
        <v>7</v>
      </c>
      <c r="G131" s="15" t="s">
        <v>8</v>
      </c>
      <c r="H131" s="17" t="s">
        <v>324</v>
      </c>
      <c r="I131" s="15" t="s">
        <v>10</v>
      </c>
      <c r="J131" s="15" t="s">
        <v>11</v>
      </c>
      <c r="K131" s="17" t="s">
        <v>324</v>
      </c>
      <c r="L131" s="15" t="s">
        <v>12</v>
      </c>
      <c r="M131" s="15" t="s">
        <v>13</v>
      </c>
      <c r="N131" s="17" t="s">
        <v>324</v>
      </c>
    </row>
    <row r="132" spans="2:14" x14ac:dyDescent="0.25">
      <c r="C132" s="120" t="s">
        <v>17</v>
      </c>
      <c r="D132" s="121" t="s">
        <v>325</v>
      </c>
      <c r="E132" s="123">
        <v>8245497.4604350002</v>
      </c>
      <c r="F132" s="123">
        <f t="shared" ref="F132" si="59">SUM(F133:F141)</f>
        <v>8245497</v>
      </c>
      <c r="G132" s="122">
        <f t="shared" ref="G132:G195" si="60">F132-E132</f>
        <v>-0.46043500024825335</v>
      </c>
      <c r="H132" s="124"/>
      <c r="I132" s="122">
        <f t="shared" ref="I132" si="61">SUM(I133:I141)</f>
        <v>8253567</v>
      </c>
      <c r="J132" s="122">
        <f t="shared" ref="J132:J195" si="62">I132-F132</f>
        <v>8070</v>
      </c>
      <c r="K132" s="124"/>
      <c r="L132" s="122">
        <f t="shared" ref="L132" si="63">SUM(L133:L141)</f>
        <v>8253567</v>
      </c>
      <c r="M132" s="122">
        <f t="shared" ref="M132:M195" si="64">L132-I132</f>
        <v>0</v>
      </c>
      <c r="N132" s="124"/>
    </row>
    <row r="133" spans="2:14" ht="31.5" customHeight="1" x14ac:dyDescent="0.25">
      <c r="B133" s="64" t="s">
        <v>326</v>
      </c>
      <c r="C133" s="125" t="s">
        <v>21</v>
      </c>
      <c r="D133" s="126" t="s">
        <v>327</v>
      </c>
      <c r="E133" s="66">
        <v>1904696</v>
      </c>
      <c r="F133" s="66">
        <f>ROUND(E133,0)</f>
        <v>1904696</v>
      </c>
      <c r="G133" s="54">
        <f t="shared" si="60"/>
        <v>0</v>
      </c>
      <c r="H133" s="67"/>
      <c r="I133" s="54">
        <f>ROUND(F133,0)-16038</f>
        <v>1888658</v>
      </c>
      <c r="J133" s="68">
        <f t="shared" si="62"/>
        <v>-16038</v>
      </c>
      <c r="K133" s="127" t="s">
        <v>328</v>
      </c>
      <c r="L133" s="54">
        <f>ROUND(I133,0)</f>
        <v>1888658</v>
      </c>
      <c r="M133" s="54">
        <f t="shared" si="64"/>
        <v>0</v>
      </c>
      <c r="N133" s="67"/>
    </row>
    <row r="134" spans="2:14" x14ac:dyDescent="0.25">
      <c r="B134" s="64" t="s">
        <v>329</v>
      </c>
      <c r="C134" s="125" t="s">
        <v>24</v>
      </c>
      <c r="D134" s="126" t="s">
        <v>330</v>
      </c>
      <c r="E134" s="66">
        <v>355819</v>
      </c>
      <c r="F134" s="66">
        <f t="shared" ref="F134:F143" si="65">ROUND(E134,0)</f>
        <v>355819</v>
      </c>
      <c r="G134" s="54">
        <f t="shared" si="60"/>
        <v>0</v>
      </c>
      <c r="H134" s="128"/>
      <c r="I134" s="54">
        <f t="shared" ref="I134:I139" si="66">ROUND(F134,0)</f>
        <v>355819</v>
      </c>
      <c r="J134" s="54">
        <f t="shared" si="62"/>
        <v>0</v>
      </c>
      <c r="K134" s="128"/>
      <c r="L134" s="54">
        <f t="shared" ref="L134:L137" si="67">ROUND(I134,0)</f>
        <v>355819</v>
      </c>
      <c r="M134" s="54">
        <f t="shared" si="64"/>
        <v>0</v>
      </c>
      <c r="N134" s="128"/>
    </row>
    <row r="135" spans="2:14" ht="13.15" customHeight="1" x14ac:dyDescent="0.25">
      <c r="B135" s="64" t="s">
        <v>331</v>
      </c>
      <c r="C135" s="125" t="s">
        <v>332</v>
      </c>
      <c r="D135" s="126" t="s">
        <v>333</v>
      </c>
      <c r="E135" s="66">
        <v>58895</v>
      </c>
      <c r="F135" s="66">
        <f>ROUND(E135,0)</f>
        <v>58895</v>
      </c>
      <c r="G135" s="54">
        <f t="shared" si="60"/>
        <v>0</v>
      </c>
      <c r="H135" s="67"/>
      <c r="I135" s="54">
        <f t="shared" si="66"/>
        <v>58895</v>
      </c>
      <c r="J135" s="54">
        <f t="shared" si="62"/>
        <v>0</v>
      </c>
      <c r="K135" s="67"/>
      <c r="L135" s="54">
        <f t="shared" si="67"/>
        <v>58895</v>
      </c>
      <c r="M135" s="54">
        <f t="shared" si="64"/>
        <v>0</v>
      </c>
      <c r="N135" s="67"/>
    </row>
    <row r="136" spans="2:14" ht="14.45" customHeight="1" x14ac:dyDescent="0.25">
      <c r="B136" s="64" t="s">
        <v>334</v>
      </c>
      <c r="C136" s="125" t="s">
        <v>335</v>
      </c>
      <c r="D136" s="126" t="s">
        <v>336</v>
      </c>
      <c r="E136" s="66">
        <v>50294</v>
      </c>
      <c r="F136" s="66">
        <f t="shared" si="65"/>
        <v>50294</v>
      </c>
      <c r="G136" s="54">
        <f t="shared" si="60"/>
        <v>0</v>
      </c>
      <c r="H136" s="67"/>
      <c r="I136" s="54">
        <f t="shared" si="66"/>
        <v>50294</v>
      </c>
      <c r="J136" s="54">
        <f t="shared" si="62"/>
        <v>0</v>
      </c>
      <c r="K136" s="67"/>
      <c r="L136" s="54">
        <f t="shared" si="67"/>
        <v>50294</v>
      </c>
      <c r="M136" s="54">
        <f t="shared" si="64"/>
        <v>0</v>
      </c>
      <c r="N136" s="67"/>
    </row>
    <row r="137" spans="2:14" ht="18" customHeight="1" x14ac:dyDescent="0.25">
      <c r="B137" s="64" t="s">
        <v>337</v>
      </c>
      <c r="C137" s="125" t="s">
        <v>338</v>
      </c>
      <c r="D137" s="126" t="s">
        <v>339</v>
      </c>
      <c r="E137" s="66">
        <v>6588</v>
      </c>
      <c r="F137" s="66">
        <f t="shared" si="65"/>
        <v>6588</v>
      </c>
      <c r="G137" s="54">
        <f t="shared" si="60"/>
        <v>0</v>
      </c>
      <c r="H137" s="128"/>
      <c r="I137" s="54">
        <f t="shared" si="66"/>
        <v>6588</v>
      </c>
      <c r="J137" s="54">
        <f t="shared" si="62"/>
        <v>0</v>
      </c>
      <c r="K137" s="128"/>
      <c r="L137" s="54">
        <f t="shared" si="67"/>
        <v>6588</v>
      </c>
      <c r="M137" s="54">
        <f t="shared" si="64"/>
        <v>0</v>
      </c>
      <c r="N137" s="128"/>
    </row>
    <row r="138" spans="2:14" ht="29.45" customHeight="1" x14ac:dyDescent="0.25">
      <c r="B138" s="64" t="s">
        <v>340</v>
      </c>
      <c r="C138" s="125" t="s">
        <v>341</v>
      </c>
      <c r="D138" s="126" t="s">
        <v>342</v>
      </c>
      <c r="E138" s="66">
        <v>71620</v>
      </c>
      <c r="F138" s="66">
        <f t="shared" si="65"/>
        <v>71620</v>
      </c>
      <c r="G138" s="54">
        <f t="shared" si="60"/>
        <v>0</v>
      </c>
      <c r="H138" s="128"/>
      <c r="I138" s="54">
        <f>ROUND(F138,0)-2000</f>
        <v>69620</v>
      </c>
      <c r="J138" s="54">
        <f t="shared" si="62"/>
        <v>-2000</v>
      </c>
      <c r="K138" s="128" t="s">
        <v>343</v>
      </c>
      <c r="L138" s="54">
        <f>ROUND(I138,0)</f>
        <v>69620</v>
      </c>
      <c r="M138" s="54">
        <f t="shared" si="64"/>
        <v>0</v>
      </c>
      <c r="N138" s="128"/>
    </row>
    <row r="139" spans="2:14" ht="15.6" customHeight="1" x14ac:dyDescent="0.25">
      <c r="B139" s="64" t="s">
        <v>326</v>
      </c>
      <c r="C139" s="125" t="s">
        <v>344</v>
      </c>
      <c r="D139" s="126" t="s">
        <v>345</v>
      </c>
      <c r="E139" s="66">
        <v>1047339</v>
      </c>
      <c r="F139" s="66">
        <f t="shared" si="65"/>
        <v>1047339</v>
      </c>
      <c r="G139" s="54">
        <f t="shared" si="60"/>
        <v>0</v>
      </c>
      <c r="H139" s="67"/>
      <c r="I139" s="54">
        <f t="shared" si="66"/>
        <v>1047339</v>
      </c>
      <c r="J139" s="54">
        <f t="shared" si="62"/>
        <v>0</v>
      </c>
      <c r="K139" s="67"/>
      <c r="L139" s="54">
        <f t="shared" ref="L139" si="68">ROUND(I139,0)</f>
        <v>1047339</v>
      </c>
      <c r="M139" s="54">
        <f t="shared" si="64"/>
        <v>0</v>
      </c>
      <c r="N139" s="67"/>
    </row>
    <row r="140" spans="2:14" x14ac:dyDescent="0.25">
      <c r="B140" s="64" t="s">
        <v>326</v>
      </c>
      <c r="C140" s="125" t="s">
        <v>346</v>
      </c>
      <c r="D140" s="126" t="s">
        <v>347</v>
      </c>
      <c r="E140" s="66">
        <v>4392666</v>
      </c>
      <c r="F140" s="66">
        <f t="shared" si="65"/>
        <v>4392666</v>
      </c>
      <c r="G140" s="54">
        <f t="shared" si="60"/>
        <v>0</v>
      </c>
      <c r="H140" s="128"/>
      <c r="I140" s="54">
        <f>ROUND(F140,0)+26108</f>
        <v>4418774</v>
      </c>
      <c r="J140" s="54">
        <f t="shared" si="62"/>
        <v>26108</v>
      </c>
      <c r="K140" s="128" t="s">
        <v>23</v>
      </c>
      <c r="L140" s="54">
        <f>ROUND(I140,0)</f>
        <v>4418774</v>
      </c>
      <c r="M140" s="54">
        <f t="shared" si="64"/>
        <v>0</v>
      </c>
      <c r="N140" s="128"/>
    </row>
    <row r="141" spans="2:14" ht="42.6" customHeight="1" x14ac:dyDescent="0.25">
      <c r="B141" s="64" t="s">
        <v>348</v>
      </c>
      <c r="C141" s="125" t="s">
        <v>349</v>
      </c>
      <c r="D141" s="126" t="s">
        <v>350</v>
      </c>
      <c r="E141" s="66">
        <v>357580.46043500002</v>
      </c>
      <c r="F141" s="66">
        <f>ROUND(E141,0)</f>
        <v>357580</v>
      </c>
      <c r="G141" s="54">
        <f t="shared" si="60"/>
        <v>-0.4604350000154227</v>
      </c>
      <c r="H141" s="67"/>
      <c r="I141" s="54">
        <f>ROUND(F141,0)</f>
        <v>357580</v>
      </c>
      <c r="J141" s="54">
        <f t="shared" si="62"/>
        <v>0</v>
      </c>
      <c r="K141" s="67"/>
      <c r="L141" s="54">
        <f>ROUND(I141,0)</f>
        <v>357580</v>
      </c>
      <c r="M141" s="54">
        <f t="shared" si="64"/>
        <v>0</v>
      </c>
      <c r="N141" s="67"/>
    </row>
    <row r="142" spans="2:14" x14ac:dyDescent="0.25">
      <c r="C142" s="129" t="s">
        <v>29</v>
      </c>
      <c r="D142" s="130" t="s">
        <v>351</v>
      </c>
      <c r="E142" s="38">
        <v>0</v>
      </c>
      <c r="F142" s="38">
        <f t="shared" si="65"/>
        <v>0</v>
      </c>
      <c r="G142" s="37">
        <f t="shared" si="60"/>
        <v>0</v>
      </c>
      <c r="H142" s="39"/>
      <c r="I142" s="37">
        <f>ROUND(F142,0)</f>
        <v>0</v>
      </c>
      <c r="J142" s="37">
        <f t="shared" si="62"/>
        <v>0</v>
      </c>
      <c r="K142" s="39"/>
      <c r="L142" s="37">
        <f>ROUND(I142,0)</f>
        <v>0</v>
      </c>
      <c r="M142" s="37">
        <f t="shared" si="64"/>
        <v>0</v>
      </c>
      <c r="N142" s="39"/>
    </row>
    <row r="143" spans="2:14" ht="13.9" customHeight="1" x14ac:dyDescent="0.25">
      <c r="B143" s="64" t="s">
        <v>352</v>
      </c>
      <c r="C143" s="125" t="s">
        <v>32</v>
      </c>
      <c r="D143" s="126" t="s">
        <v>353</v>
      </c>
      <c r="E143" s="66">
        <v>0</v>
      </c>
      <c r="F143" s="66">
        <f t="shared" si="65"/>
        <v>0</v>
      </c>
      <c r="G143" s="54">
        <f t="shared" si="60"/>
        <v>0</v>
      </c>
      <c r="H143" s="128"/>
      <c r="I143" s="54">
        <f>ROUND(F143,0)</f>
        <v>0</v>
      </c>
      <c r="J143" s="54">
        <f t="shared" si="62"/>
        <v>0</v>
      </c>
      <c r="K143" s="128"/>
      <c r="L143" s="54">
        <f>ROUND(I143,0)</f>
        <v>0</v>
      </c>
      <c r="M143" s="54">
        <f t="shared" si="64"/>
        <v>0</v>
      </c>
      <c r="N143" s="128"/>
    </row>
    <row r="144" spans="2:14" ht="15" customHeight="1" collapsed="1" x14ac:dyDescent="0.25">
      <c r="B144" s="64" t="s">
        <v>354</v>
      </c>
      <c r="C144" s="129" t="s">
        <v>37</v>
      </c>
      <c r="D144" s="130" t="s">
        <v>355</v>
      </c>
      <c r="E144" s="38">
        <v>936069.29245700024</v>
      </c>
      <c r="F144" s="38">
        <f>ROUND(E144,0)</f>
        <v>936069</v>
      </c>
      <c r="G144" s="37">
        <f t="shared" si="60"/>
        <v>-0.29245700023602694</v>
      </c>
      <c r="H144" s="47"/>
      <c r="I144" s="37">
        <f>ROUND(F144,0)</f>
        <v>936069</v>
      </c>
      <c r="J144" s="37">
        <f t="shared" si="62"/>
        <v>0</v>
      </c>
      <c r="K144" s="131"/>
      <c r="L144" s="37">
        <f>ROUND(I144,0)</f>
        <v>936069</v>
      </c>
      <c r="M144" s="37">
        <f t="shared" si="64"/>
        <v>0</v>
      </c>
      <c r="N144" s="47"/>
    </row>
    <row r="145" spans="2:14" s="132" customFormat="1" ht="16.899999999999999" customHeight="1" x14ac:dyDescent="0.25">
      <c r="C145" s="129" t="s">
        <v>45</v>
      </c>
      <c r="D145" s="130" t="s">
        <v>356</v>
      </c>
      <c r="E145" s="38">
        <v>556693.29264600005</v>
      </c>
      <c r="F145" s="38">
        <f t="shared" ref="F145" si="69">F146+F149</f>
        <v>556693</v>
      </c>
      <c r="G145" s="37">
        <f t="shared" si="60"/>
        <v>-0.29264600004535168</v>
      </c>
      <c r="H145" s="47"/>
      <c r="I145" s="37">
        <f t="shared" ref="I145" si="70">I146+I149</f>
        <v>589278</v>
      </c>
      <c r="J145" s="37">
        <f t="shared" si="62"/>
        <v>32585</v>
      </c>
      <c r="K145" s="47"/>
      <c r="L145" s="37">
        <f t="shared" ref="L145" si="71">L146+L149</f>
        <v>589278</v>
      </c>
      <c r="M145" s="37">
        <f t="shared" si="64"/>
        <v>0</v>
      </c>
      <c r="N145" s="47"/>
    </row>
    <row r="146" spans="2:14" x14ac:dyDescent="0.25">
      <c r="B146" s="64" t="s">
        <v>357</v>
      </c>
      <c r="C146" s="125" t="s">
        <v>48</v>
      </c>
      <c r="D146" s="126" t="s">
        <v>358</v>
      </c>
      <c r="E146" s="66">
        <v>207617.29264600005</v>
      </c>
      <c r="F146" s="66">
        <f>SUM(F147:F148)</f>
        <v>207617</v>
      </c>
      <c r="G146" s="54">
        <f t="shared" ref="G146" si="72">SUM(G147:G148)</f>
        <v>3.7353999970946461E-2</v>
      </c>
      <c r="H146" s="54"/>
      <c r="I146" s="54">
        <f>SUM(I147:I148)</f>
        <v>207617</v>
      </c>
      <c r="J146" s="54">
        <f t="shared" si="62"/>
        <v>0</v>
      </c>
      <c r="K146" s="54"/>
      <c r="L146" s="54">
        <f>SUM(L147:L148)</f>
        <v>207617</v>
      </c>
      <c r="M146" s="54">
        <f t="shared" si="64"/>
        <v>0</v>
      </c>
      <c r="N146" s="54"/>
    </row>
    <row r="147" spans="2:14" x14ac:dyDescent="0.25">
      <c r="B147" s="64" t="s">
        <v>357</v>
      </c>
      <c r="C147" s="133" t="s">
        <v>359</v>
      </c>
      <c r="D147" s="134" t="s">
        <v>360</v>
      </c>
      <c r="E147" s="32">
        <v>162450.96264600003</v>
      </c>
      <c r="F147" s="32">
        <f>ROUND(E147,0)</f>
        <v>162451</v>
      </c>
      <c r="G147" s="31">
        <f t="shared" si="60"/>
        <v>3.7353999970946461E-2</v>
      </c>
      <c r="H147" s="33"/>
      <c r="I147" s="31">
        <f>ROUND(F147,0)</f>
        <v>162451</v>
      </c>
      <c r="J147" s="31">
        <f t="shared" si="62"/>
        <v>0</v>
      </c>
      <c r="K147" s="33"/>
      <c r="L147" s="31">
        <f>ROUND(I147,0)</f>
        <v>162451</v>
      </c>
      <c r="M147" s="31">
        <f t="shared" si="64"/>
        <v>0</v>
      </c>
      <c r="N147" s="33"/>
    </row>
    <row r="148" spans="2:14" x14ac:dyDescent="0.25">
      <c r="B148" s="64"/>
      <c r="C148" s="133" t="s">
        <v>361</v>
      </c>
      <c r="D148" s="134" t="s">
        <v>362</v>
      </c>
      <c r="E148" s="32">
        <v>45166.33</v>
      </c>
      <c r="F148" s="32">
        <f>ROUND(E148,0)</f>
        <v>45166</v>
      </c>
      <c r="G148" s="31"/>
      <c r="H148" s="33"/>
      <c r="I148" s="31">
        <f>ROUND(F148,0)</f>
        <v>45166</v>
      </c>
      <c r="J148" s="31">
        <f t="shared" si="62"/>
        <v>0</v>
      </c>
      <c r="K148" s="33"/>
      <c r="L148" s="31">
        <f>ROUND(I148,0)</f>
        <v>45166</v>
      </c>
      <c r="M148" s="31">
        <f t="shared" si="64"/>
        <v>0</v>
      </c>
      <c r="N148" s="33"/>
    </row>
    <row r="149" spans="2:14" x14ac:dyDescent="0.25">
      <c r="B149" s="64" t="s">
        <v>363</v>
      </c>
      <c r="C149" s="125" t="s">
        <v>50</v>
      </c>
      <c r="D149" s="126" t="s">
        <v>364</v>
      </c>
      <c r="E149" s="66">
        <v>349076</v>
      </c>
      <c r="F149" s="66">
        <f>ROUND(E149,0)</f>
        <v>349076</v>
      </c>
      <c r="G149" s="54">
        <f t="shared" si="60"/>
        <v>0</v>
      </c>
      <c r="H149" s="128"/>
      <c r="I149" s="54">
        <f>ROUND(F149,0)+32585</f>
        <v>381661</v>
      </c>
      <c r="J149" s="54">
        <f t="shared" si="62"/>
        <v>32585</v>
      </c>
      <c r="K149" s="54" t="s">
        <v>173</v>
      </c>
      <c r="L149" s="54">
        <f>ROUND(I149,0)</f>
        <v>381661</v>
      </c>
      <c r="M149" s="54">
        <f t="shared" si="64"/>
        <v>0</v>
      </c>
      <c r="N149" s="54"/>
    </row>
    <row r="150" spans="2:14" x14ac:dyDescent="0.25">
      <c r="C150" s="129" t="s">
        <v>51</v>
      </c>
      <c r="D150" s="130" t="s">
        <v>365</v>
      </c>
      <c r="E150" s="38">
        <v>260002</v>
      </c>
      <c r="F150" s="38">
        <f t="shared" ref="F150" si="73">F151</f>
        <v>260002</v>
      </c>
      <c r="G150" s="37">
        <f t="shared" si="60"/>
        <v>0</v>
      </c>
      <c r="H150" s="39"/>
      <c r="I150" s="37">
        <f t="shared" ref="I150" si="74">I151</f>
        <v>260002</v>
      </c>
      <c r="J150" s="37">
        <f t="shared" si="62"/>
        <v>0</v>
      </c>
      <c r="K150" s="39"/>
      <c r="L150" s="37">
        <f t="shared" ref="L150" si="75">L151</f>
        <v>260002</v>
      </c>
      <c r="M150" s="37">
        <f t="shared" si="64"/>
        <v>0</v>
      </c>
      <c r="N150" s="39"/>
    </row>
    <row r="151" spans="2:14" ht="16.149999999999999" customHeight="1" x14ac:dyDescent="0.25">
      <c r="B151" s="64" t="s">
        <v>366</v>
      </c>
      <c r="C151" s="125" t="s">
        <v>54</v>
      </c>
      <c r="D151" s="126" t="s">
        <v>367</v>
      </c>
      <c r="E151" s="66">
        <v>260002</v>
      </c>
      <c r="F151" s="66">
        <f>ROUND(E151,0)</f>
        <v>260002</v>
      </c>
      <c r="G151" s="54">
        <f t="shared" si="60"/>
        <v>0</v>
      </c>
      <c r="H151" s="67"/>
      <c r="I151" s="54">
        <f>ROUND(F151,0)</f>
        <v>260002</v>
      </c>
      <c r="J151" s="54">
        <f t="shared" si="62"/>
        <v>0</v>
      </c>
      <c r="K151" s="67"/>
      <c r="L151" s="54">
        <f>ROUND(I151,0)</f>
        <v>260002</v>
      </c>
      <c r="M151" s="54">
        <f t="shared" si="64"/>
        <v>0</v>
      </c>
      <c r="N151" s="67"/>
    </row>
    <row r="152" spans="2:14" ht="29.25" x14ac:dyDescent="0.25">
      <c r="C152" s="129" t="s">
        <v>59</v>
      </c>
      <c r="D152" s="130" t="s">
        <v>368</v>
      </c>
      <c r="E152" s="38">
        <v>16329241.372453</v>
      </c>
      <c r="F152" s="38">
        <f t="shared" ref="F152" si="76">F153+F154+F155+F156+F167</f>
        <v>16329241</v>
      </c>
      <c r="G152" s="37">
        <f>G154+G155+G156+G167</f>
        <v>-0.3724529993487522</v>
      </c>
      <c r="H152" s="37"/>
      <c r="I152" s="37">
        <f t="shared" ref="I152" si="77">I153+I154+I155+I156+I167</f>
        <v>16651546</v>
      </c>
      <c r="J152" s="37">
        <f t="shared" si="62"/>
        <v>322305</v>
      </c>
      <c r="K152" s="37"/>
      <c r="L152" s="37">
        <f t="shared" ref="L152" si="78">L153+L154+L155+L156+L167</f>
        <v>16728872</v>
      </c>
      <c r="M152" s="37">
        <f t="shared" si="64"/>
        <v>77326</v>
      </c>
      <c r="N152" s="37"/>
    </row>
    <row r="153" spans="2:14" ht="15.6" customHeight="1" x14ac:dyDescent="0.25">
      <c r="B153" s="64" t="s">
        <v>352</v>
      </c>
      <c r="C153" s="125" t="s">
        <v>62</v>
      </c>
      <c r="D153" s="135" t="s">
        <v>353</v>
      </c>
      <c r="E153" s="66">
        <v>70000</v>
      </c>
      <c r="F153" s="66">
        <f>ROUND(E153,0)</f>
        <v>70000</v>
      </c>
      <c r="G153" s="54">
        <f>F153-E153</f>
        <v>0</v>
      </c>
      <c r="H153" s="128"/>
      <c r="I153" s="54">
        <f>ROUND(F153,0)</f>
        <v>70000</v>
      </c>
      <c r="J153" s="54">
        <f t="shared" si="62"/>
        <v>0</v>
      </c>
      <c r="K153" s="128"/>
      <c r="L153" s="54">
        <f>ROUND(I153,0)</f>
        <v>70000</v>
      </c>
      <c r="M153" s="54">
        <f t="shared" si="64"/>
        <v>0</v>
      </c>
      <c r="N153" s="128"/>
    </row>
    <row r="154" spans="2:14" ht="19.149999999999999" customHeight="1" x14ac:dyDescent="0.25">
      <c r="B154" s="64" t="s">
        <v>369</v>
      </c>
      <c r="C154" s="125" t="s">
        <v>74</v>
      </c>
      <c r="D154" s="135" t="s">
        <v>370</v>
      </c>
      <c r="E154" s="137">
        <v>313523.70461999997</v>
      </c>
      <c r="F154" s="137">
        <f>ROUND(E154,0)</f>
        <v>313524</v>
      </c>
      <c r="G154" s="136">
        <f t="shared" si="60"/>
        <v>0.29538000002503395</v>
      </c>
      <c r="H154" s="67"/>
      <c r="I154" s="136">
        <f>ROUND(F154,0)+15000</f>
        <v>328524</v>
      </c>
      <c r="J154" s="138">
        <f t="shared" si="62"/>
        <v>15000</v>
      </c>
      <c r="K154" s="139" t="s">
        <v>371</v>
      </c>
      <c r="L154" s="136">
        <f>ROUND(I154,0)</f>
        <v>328524</v>
      </c>
      <c r="M154" s="136">
        <f t="shared" si="64"/>
        <v>0</v>
      </c>
      <c r="N154" s="140"/>
    </row>
    <row r="155" spans="2:14" ht="28.15" customHeight="1" x14ac:dyDescent="0.25">
      <c r="B155" s="64" t="s">
        <v>372</v>
      </c>
      <c r="C155" s="125" t="s">
        <v>373</v>
      </c>
      <c r="D155" s="135" t="s">
        <v>374</v>
      </c>
      <c r="E155" s="137">
        <v>345571.12844500004</v>
      </c>
      <c r="F155" s="137">
        <f>ROUND(E155,0)</f>
        <v>345571</v>
      </c>
      <c r="G155" s="136">
        <f t="shared" si="60"/>
        <v>-0.12844500003848225</v>
      </c>
      <c r="H155" s="67"/>
      <c r="I155" s="136">
        <f>ROUND(F155,0)-11083</f>
        <v>334488</v>
      </c>
      <c r="J155" s="138">
        <f t="shared" si="62"/>
        <v>-11083</v>
      </c>
      <c r="K155" s="127" t="s">
        <v>328</v>
      </c>
      <c r="L155" s="136">
        <f>ROUND(I155,0)</f>
        <v>334488</v>
      </c>
      <c r="M155" s="136">
        <f t="shared" si="64"/>
        <v>0</v>
      </c>
      <c r="N155" s="67"/>
    </row>
    <row r="156" spans="2:14" x14ac:dyDescent="0.25">
      <c r="C156" s="125" t="s">
        <v>375</v>
      </c>
      <c r="D156" s="135" t="s">
        <v>376</v>
      </c>
      <c r="E156" s="137">
        <v>1526970.0498800001</v>
      </c>
      <c r="F156" s="137">
        <f t="shared" ref="F156:G156" si="79">SUM(F157:F166)</f>
        <v>1526970</v>
      </c>
      <c r="G156" s="136">
        <f t="shared" si="79"/>
        <v>-4.9880000064149499E-2</v>
      </c>
      <c r="H156" s="136"/>
      <c r="I156" s="136">
        <f t="shared" ref="I156" si="80">SUM(I157:I166)</f>
        <v>1509840</v>
      </c>
      <c r="J156" s="136">
        <f t="shared" si="62"/>
        <v>-17130</v>
      </c>
      <c r="K156" s="136"/>
      <c r="L156" s="136">
        <f t="shared" ref="L156" si="81">SUM(L157:L166)</f>
        <v>1509840</v>
      </c>
      <c r="M156" s="136">
        <f t="shared" si="64"/>
        <v>0</v>
      </c>
      <c r="N156" s="136"/>
    </row>
    <row r="157" spans="2:14" ht="28.15" customHeight="1" x14ac:dyDescent="0.25">
      <c r="B157" s="64" t="s">
        <v>181</v>
      </c>
      <c r="C157" s="133" t="s">
        <v>377</v>
      </c>
      <c r="D157" s="103" t="s">
        <v>378</v>
      </c>
      <c r="E157" s="32">
        <v>1009113.0498800001</v>
      </c>
      <c r="F157" s="32">
        <f>ROUND(E157,0)+5033</f>
        <v>1014146</v>
      </c>
      <c r="G157" s="31">
        <f t="shared" si="60"/>
        <v>5032.9501199999359</v>
      </c>
      <c r="H157" s="141" t="s">
        <v>379</v>
      </c>
      <c r="I157" s="31">
        <f>ROUND(F157,0)-17130</f>
        <v>997016</v>
      </c>
      <c r="J157" s="34">
        <f t="shared" si="62"/>
        <v>-17130</v>
      </c>
      <c r="K157" s="142" t="s">
        <v>328</v>
      </c>
      <c r="L157" s="31">
        <f>ROUND(I157,0)</f>
        <v>997016</v>
      </c>
      <c r="M157" s="31">
        <f t="shared" si="64"/>
        <v>0</v>
      </c>
      <c r="N157" s="141"/>
    </row>
    <row r="158" spans="2:14" ht="43.9" customHeight="1" x14ac:dyDescent="0.25">
      <c r="B158" s="64" t="s">
        <v>380</v>
      </c>
      <c r="C158" s="133" t="s">
        <v>381</v>
      </c>
      <c r="D158" s="143" t="s">
        <v>382</v>
      </c>
      <c r="E158" s="32">
        <v>40000</v>
      </c>
      <c r="F158" s="32">
        <f t="shared" ref="F158:F163" si="82">ROUND(E158,0)</f>
        <v>40000</v>
      </c>
      <c r="G158" s="31">
        <f t="shared" si="60"/>
        <v>0</v>
      </c>
      <c r="H158" s="141"/>
      <c r="I158" s="31">
        <f t="shared" ref="I158:I163" si="83">ROUND(F158,0)</f>
        <v>40000</v>
      </c>
      <c r="J158" s="31">
        <f t="shared" si="62"/>
        <v>0</v>
      </c>
      <c r="K158" s="141"/>
      <c r="L158" s="31">
        <f>ROUND(I158,0)+1630</f>
        <v>41630</v>
      </c>
      <c r="M158" s="31">
        <f t="shared" si="64"/>
        <v>1630</v>
      </c>
      <c r="N158" s="141" t="s">
        <v>383</v>
      </c>
    </row>
    <row r="159" spans="2:14" ht="16.5" customHeight="1" x14ac:dyDescent="0.25">
      <c r="B159" s="64" t="s">
        <v>380</v>
      </c>
      <c r="C159" s="133" t="s">
        <v>384</v>
      </c>
      <c r="D159" s="143" t="s">
        <v>385</v>
      </c>
      <c r="E159" s="32">
        <v>10000</v>
      </c>
      <c r="F159" s="32">
        <f t="shared" si="82"/>
        <v>10000</v>
      </c>
      <c r="G159" s="31">
        <f t="shared" si="60"/>
        <v>0</v>
      </c>
      <c r="H159" s="141"/>
      <c r="I159" s="31">
        <f t="shared" si="83"/>
        <v>10000</v>
      </c>
      <c r="J159" s="31">
        <f t="shared" si="62"/>
        <v>0</v>
      </c>
      <c r="K159" s="141"/>
      <c r="L159" s="31">
        <f t="shared" ref="L159:L163" si="84">ROUND(I159,0)</f>
        <v>10000</v>
      </c>
      <c r="M159" s="31">
        <f t="shared" si="64"/>
        <v>0</v>
      </c>
      <c r="N159" s="141"/>
    </row>
    <row r="160" spans="2:14" ht="28.15" customHeight="1" x14ac:dyDescent="0.25">
      <c r="B160" s="64" t="s">
        <v>386</v>
      </c>
      <c r="C160" s="144" t="s">
        <v>387</v>
      </c>
      <c r="D160" s="145" t="s">
        <v>388</v>
      </c>
      <c r="E160" s="32">
        <v>42000</v>
      </c>
      <c r="F160" s="32">
        <f>ROUND(E160,0)+18000</f>
        <v>60000</v>
      </c>
      <c r="G160" s="31">
        <f t="shared" si="60"/>
        <v>18000</v>
      </c>
      <c r="H160" s="141" t="s">
        <v>389</v>
      </c>
      <c r="I160" s="31">
        <f t="shared" si="83"/>
        <v>60000</v>
      </c>
      <c r="J160" s="31">
        <f t="shared" si="62"/>
        <v>0</v>
      </c>
      <c r="K160" s="141"/>
      <c r="L160" s="31">
        <f t="shared" si="84"/>
        <v>60000</v>
      </c>
      <c r="M160" s="31">
        <f t="shared" si="64"/>
        <v>0</v>
      </c>
      <c r="N160" s="141"/>
    </row>
    <row r="161" spans="2:14" ht="32.450000000000003" customHeight="1" x14ac:dyDescent="0.25">
      <c r="B161" s="64" t="s">
        <v>390</v>
      </c>
      <c r="C161" s="144" t="s">
        <v>391</v>
      </c>
      <c r="D161" s="146" t="s">
        <v>392</v>
      </c>
      <c r="E161" s="32">
        <v>85290</v>
      </c>
      <c r="F161" s="32">
        <f t="shared" si="82"/>
        <v>85290</v>
      </c>
      <c r="G161" s="31">
        <f t="shared" si="60"/>
        <v>0</v>
      </c>
      <c r="H161" s="141"/>
      <c r="I161" s="31">
        <f t="shared" si="83"/>
        <v>85290</v>
      </c>
      <c r="J161" s="31">
        <f t="shared" si="62"/>
        <v>0</v>
      </c>
      <c r="K161" s="141"/>
      <c r="L161" s="31">
        <f t="shared" si="84"/>
        <v>85290</v>
      </c>
      <c r="M161" s="31">
        <f t="shared" si="64"/>
        <v>0</v>
      </c>
      <c r="N161" s="141"/>
    </row>
    <row r="162" spans="2:14" ht="15.75" customHeight="1" x14ac:dyDescent="0.25">
      <c r="B162" s="64" t="s">
        <v>393</v>
      </c>
      <c r="C162" s="144" t="s">
        <v>394</v>
      </c>
      <c r="D162" s="146" t="s">
        <v>230</v>
      </c>
      <c r="E162" s="32">
        <v>236171</v>
      </c>
      <c r="F162" s="32">
        <f t="shared" si="82"/>
        <v>236171</v>
      </c>
      <c r="G162" s="31">
        <f t="shared" si="60"/>
        <v>0</v>
      </c>
      <c r="H162" s="141"/>
      <c r="I162" s="31">
        <f t="shared" si="83"/>
        <v>236171</v>
      </c>
      <c r="J162" s="31">
        <f t="shared" si="62"/>
        <v>0</v>
      </c>
      <c r="K162" s="141"/>
      <c r="L162" s="31">
        <f t="shared" si="84"/>
        <v>236171</v>
      </c>
      <c r="M162" s="31">
        <f t="shared" si="64"/>
        <v>0</v>
      </c>
      <c r="N162" s="141"/>
    </row>
    <row r="163" spans="2:14" ht="25.15" customHeight="1" x14ac:dyDescent="0.25">
      <c r="B163" s="64" t="s">
        <v>395</v>
      </c>
      <c r="C163" s="144" t="s">
        <v>396</v>
      </c>
      <c r="D163" s="146" t="s">
        <v>196</v>
      </c>
      <c r="E163" s="32">
        <v>53240</v>
      </c>
      <c r="F163" s="32">
        <f t="shared" si="82"/>
        <v>53240</v>
      </c>
      <c r="G163" s="31">
        <f t="shared" si="60"/>
        <v>0</v>
      </c>
      <c r="H163" s="49"/>
      <c r="I163" s="31">
        <f t="shared" si="83"/>
        <v>53240</v>
      </c>
      <c r="J163" s="31">
        <f t="shared" si="62"/>
        <v>0</v>
      </c>
      <c r="K163" s="49"/>
      <c r="L163" s="31">
        <f t="shared" si="84"/>
        <v>53240</v>
      </c>
      <c r="M163" s="31">
        <f t="shared" si="64"/>
        <v>0</v>
      </c>
      <c r="N163" s="49"/>
    </row>
    <row r="164" spans="2:14" ht="13.15" customHeight="1" x14ac:dyDescent="0.25">
      <c r="B164" s="64" t="s">
        <v>181</v>
      </c>
      <c r="C164" s="144" t="s">
        <v>397</v>
      </c>
      <c r="D164" s="69" t="s">
        <v>398</v>
      </c>
      <c r="E164" s="32">
        <v>32020</v>
      </c>
      <c r="F164" s="32">
        <f>32020-18000-5033</f>
        <v>8987</v>
      </c>
      <c r="G164" s="31">
        <f t="shared" si="60"/>
        <v>-23033</v>
      </c>
      <c r="H164" s="141" t="s">
        <v>399</v>
      </c>
      <c r="I164" s="31">
        <f>32020-18000-5033</f>
        <v>8987</v>
      </c>
      <c r="J164" s="31">
        <f t="shared" si="62"/>
        <v>0</v>
      </c>
      <c r="K164" s="141"/>
      <c r="L164" s="31">
        <f>32020-18000-5033</f>
        <v>8987</v>
      </c>
      <c r="M164" s="31">
        <f t="shared" si="64"/>
        <v>0</v>
      </c>
      <c r="N164" s="141"/>
    </row>
    <row r="165" spans="2:14" ht="40.9" customHeight="1" x14ac:dyDescent="0.25">
      <c r="B165" s="64" t="s">
        <v>263</v>
      </c>
      <c r="C165" s="144" t="s">
        <v>400</v>
      </c>
      <c r="D165" s="146" t="s">
        <v>401</v>
      </c>
      <c r="E165" s="32">
        <v>4136</v>
      </c>
      <c r="F165" s="32">
        <v>4136</v>
      </c>
      <c r="G165" s="31">
        <f t="shared" si="60"/>
        <v>0</v>
      </c>
      <c r="H165" s="141"/>
      <c r="I165" s="31">
        <f>4136-1298</f>
        <v>2838</v>
      </c>
      <c r="J165" s="31">
        <f t="shared" si="62"/>
        <v>-1298</v>
      </c>
      <c r="K165" s="659" t="s">
        <v>402</v>
      </c>
      <c r="L165" s="31">
        <f>4136-1298-1630</f>
        <v>1208</v>
      </c>
      <c r="M165" s="31">
        <f t="shared" si="64"/>
        <v>-1630</v>
      </c>
      <c r="N165" s="141" t="s">
        <v>383</v>
      </c>
    </row>
    <row r="166" spans="2:14" ht="31.9" customHeight="1" x14ac:dyDescent="0.25">
      <c r="B166" s="64" t="s">
        <v>403</v>
      </c>
      <c r="C166" s="144" t="s">
        <v>404</v>
      </c>
      <c r="D166" s="146" t="s">
        <v>232</v>
      </c>
      <c r="E166" s="32">
        <v>15000</v>
      </c>
      <c r="F166" s="32">
        <v>15000</v>
      </c>
      <c r="G166" s="31">
        <f t="shared" si="60"/>
        <v>0</v>
      </c>
      <c r="H166" s="141"/>
      <c r="I166" s="31">
        <f>15000+1298</f>
        <v>16298</v>
      </c>
      <c r="J166" s="31">
        <f t="shared" si="62"/>
        <v>1298</v>
      </c>
      <c r="K166" s="660"/>
      <c r="L166" s="31">
        <f>15000+1298</f>
        <v>16298</v>
      </c>
      <c r="M166" s="31">
        <f t="shared" si="64"/>
        <v>0</v>
      </c>
      <c r="N166" s="147"/>
    </row>
    <row r="167" spans="2:14" ht="29.25" customHeight="1" x14ac:dyDescent="0.25">
      <c r="C167" s="125" t="s">
        <v>405</v>
      </c>
      <c r="D167" s="135" t="s">
        <v>406</v>
      </c>
      <c r="E167" s="137">
        <v>14073176.489507999</v>
      </c>
      <c r="F167" s="137">
        <f t="shared" ref="F167" si="85">SUM(F168:F173,F177:F185)</f>
        <v>14073176</v>
      </c>
      <c r="G167" s="136">
        <f t="shared" si="60"/>
        <v>-0.4895079992711544</v>
      </c>
      <c r="H167" s="148"/>
      <c r="I167" s="136">
        <f t="shared" ref="I167" si="86">SUM(I168:I173,I177:I185)</f>
        <v>14408694</v>
      </c>
      <c r="J167" s="136">
        <f t="shared" si="62"/>
        <v>335518</v>
      </c>
      <c r="K167" s="148"/>
      <c r="L167" s="136">
        <f t="shared" ref="L167" si="87">SUM(L168:L173,L177:L185)</f>
        <v>14486020</v>
      </c>
      <c r="M167" s="136">
        <f t="shared" si="64"/>
        <v>77326</v>
      </c>
      <c r="N167" s="148"/>
    </row>
    <row r="168" spans="2:14" s="71" customFormat="1" ht="17.25" hidden="1" customHeight="1" outlineLevel="1" x14ac:dyDescent="0.25">
      <c r="C168" s="149" t="s">
        <v>407</v>
      </c>
      <c r="D168" s="150" t="s">
        <v>408</v>
      </c>
      <c r="E168" s="32">
        <v>0</v>
      </c>
      <c r="F168" s="32">
        <f>ROUND(E168,0)</f>
        <v>0</v>
      </c>
      <c r="G168" s="31">
        <f t="shared" si="60"/>
        <v>0</v>
      </c>
      <c r="H168" s="151"/>
      <c r="I168" s="31">
        <f>ROUND(F168,0)</f>
        <v>0</v>
      </c>
      <c r="J168" s="31">
        <f t="shared" si="62"/>
        <v>0</v>
      </c>
      <c r="K168" s="151"/>
      <c r="L168" s="31">
        <f>ROUND(I168,0)</f>
        <v>0</v>
      </c>
      <c r="M168" s="31">
        <f t="shared" si="64"/>
        <v>0</v>
      </c>
      <c r="N168" s="151"/>
    </row>
    <row r="169" spans="2:14" ht="15.75" customHeight="1" collapsed="1" x14ac:dyDescent="0.25">
      <c r="B169" s="64" t="s">
        <v>409</v>
      </c>
      <c r="C169" s="133" t="s">
        <v>407</v>
      </c>
      <c r="D169" s="152" t="s">
        <v>410</v>
      </c>
      <c r="E169" s="32">
        <v>160572.14087500004</v>
      </c>
      <c r="F169" s="32">
        <f>ROUND(E169,0)</f>
        <v>160572</v>
      </c>
      <c r="G169" s="31">
        <f t="shared" si="60"/>
        <v>-0.14087500004097819</v>
      </c>
      <c r="H169" s="147"/>
      <c r="I169" s="31">
        <f>ROUND(F169,0)</f>
        <v>160572</v>
      </c>
      <c r="J169" s="31">
        <f t="shared" si="62"/>
        <v>0</v>
      </c>
      <c r="K169" s="147"/>
      <c r="L169" s="31">
        <f>ROUND(I169,0)</f>
        <v>160572</v>
      </c>
      <c r="M169" s="31">
        <f t="shared" si="64"/>
        <v>0</v>
      </c>
      <c r="N169" s="147"/>
    </row>
    <row r="170" spans="2:14" ht="13.9" customHeight="1" x14ac:dyDescent="0.25">
      <c r="B170" s="64" t="s">
        <v>411</v>
      </c>
      <c r="C170" s="133" t="s">
        <v>412</v>
      </c>
      <c r="D170" s="146" t="s">
        <v>413</v>
      </c>
      <c r="E170" s="32">
        <v>355701</v>
      </c>
      <c r="F170" s="32">
        <f t="shared" ref="F170:F182" si="88">ROUND(E170,0)</f>
        <v>355701</v>
      </c>
      <c r="G170" s="31">
        <f t="shared" si="60"/>
        <v>0</v>
      </c>
      <c r="H170" s="141"/>
      <c r="I170" s="31">
        <f>ROUND(F170,0)</f>
        <v>355701</v>
      </c>
      <c r="J170" s="31">
        <f t="shared" si="62"/>
        <v>0</v>
      </c>
      <c r="K170" s="141"/>
      <c r="L170" s="31">
        <f>ROUND(I170,0)</f>
        <v>355701</v>
      </c>
      <c r="M170" s="31">
        <f t="shared" si="64"/>
        <v>0</v>
      </c>
      <c r="N170" s="141"/>
    </row>
    <row r="171" spans="2:14" ht="27" customHeight="1" x14ac:dyDescent="0.25">
      <c r="B171" s="64" t="s">
        <v>191</v>
      </c>
      <c r="C171" s="144" t="s">
        <v>414</v>
      </c>
      <c r="D171" s="146" t="s">
        <v>304</v>
      </c>
      <c r="E171" s="32">
        <v>891139</v>
      </c>
      <c r="F171" s="32">
        <f t="shared" si="88"/>
        <v>891139</v>
      </c>
      <c r="G171" s="31">
        <f t="shared" si="60"/>
        <v>0</v>
      </c>
      <c r="H171" s="141"/>
      <c r="I171" s="31">
        <f>ROUND(F171,0)</f>
        <v>891139</v>
      </c>
      <c r="J171" s="31">
        <f t="shared" si="62"/>
        <v>0</v>
      </c>
      <c r="K171" s="141"/>
      <c r="L171" s="31">
        <f>ROUND(I171,0)</f>
        <v>891139</v>
      </c>
      <c r="M171" s="31">
        <f t="shared" si="64"/>
        <v>0</v>
      </c>
      <c r="N171" s="141"/>
    </row>
    <row r="172" spans="2:14" ht="25.9" customHeight="1" x14ac:dyDescent="0.25">
      <c r="B172" s="64" t="s">
        <v>415</v>
      </c>
      <c r="C172" s="133" t="s">
        <v>416</v>
      </c>
      <c r="D172" s="152" t="s">
        <v>417</v>
      </c>
      <c r="E172" s="32">
        <v>3779449</v>
      </c>
      <c r="F172" s="32">
        <f t="shared" si="88"/>
        <v>3779449</v>
      </c>
      <c r="G172" s="31">
        <f t="shared" si="60"/>
        <v>0</v>
      </c>
      <c r="H172" s="141"/>
      <c r="I172" s="31">
        <f>ROUND(F172,0)</f>
        <v>3779449</v>
      </c>
      <c r="J172" s="31">
        <f t="shared" si="62"/>
        <v>0</v>
      </c>
      <c r="K172" s="141"/>
      <c r="L172" s="31">
        <f>ROUND(I172,0)</f>
        <v>3779449</v>
      </c>
      <c r="M172" s="31">
        <f t="shared" si="64"/>
        <v>0</v>
      </c>
      <c r="N172" s="141"/>
    </row>
    <row r="173" spans="2:14" ht="32.25" customHeight="1" x14ac:dyDescent="0.25">
      <c r="B173" s="64" t="s">
        <v>5</v>
      </c>
      <c r="C173" s="133" t="s">
        <v>418</v>
      </c>
      <c r="D173" s="152" t="s">
        <v>419</v>
      </c>
      <c r="E173" s="153">
        <v>5552774.9964329991</v>
      </c>
      <c r="F173" s="153">
        <f>SUM(F174:F176)</f>
        <v>5552775</v>
      </c>
      <c r="G173" s="31">
        <f t="shared" si="60"/>
        <v>3.5670008510351181E-3</v>
      </c>
      <c r="H173" s="141"/>
      <c r="I173" s="80">
        <f>SUM(I174:I176)</f>
        <v>5888293</v>
      </c>
      <c r="J173" s="31">
        <f t="shared" si="62"/>
        <v>335518</v>
      </c>
      <c r="K173" s="141"/>
      <c r="L173" s="80">
        <f>SUM(L174:L176)</f>
        <v>5908293</v>
      </c>
      <c r="M173" s="31">
        <f t="shared" si="64"/>
        <v>20000</v>
      </c>
      <c r="N173" s="141"/>
    </row>
    <row r="174" spans="2:14" ht="30.6" customHeight="1" x14ac:dyDescent="0.25">
      <c r="B174" s="64"/>
      <c r="C174" s="154" t="s">
        <v>420</v>
      </c>
      <c r="D174" s="155" t="s">
        <v>421</v>
      </c>
      <c r="E174" s="153">
        <v>4996040.3361329995</v>
      </c>
      <c r="F174" s="153">
        <f t="shared" si="88"/>
        <v>4996040</v>
      </c>
      <c r="G174" s="31">
        <f t="shared" si="60"/>
        <v>-0.33613299950957298</v>
      </c>
      <c r="H174" s="141"/>
      <c r="I174" s="80">
        <f>ROUND(F174,0)-18000+16000+21000+30000+5000+30000+12000+36000+(54000+126000)+15597</f>
        <v>5323637</v>
      </c>
      <c r="J174" s="34">
        <f t="shared" si="62"/>
        <v>327597</v>
      </c>
      <c r="K174" s="142" t="s">
        <v>422</v>
      </c>
      <c r="L174" s="80">
        <f>ROUND(I174,0)-17977-99-410-4242-202-86-55-19408-8457</f>
        <v>5272701</v>
      </c>
      <c r="M174" s="31">
        <f t="shared" si="64"/>
        <v>-50936</v>
      </c>
      <c r="N174" s="141" t="s">
        <v>423</v>
      </c>
    </row>
    <row r="175" spans="2:14" ht="16.899999999999999" customHeight="1" x14ac:dyDescent="0.25">
      <c r="B175" s="64"/>
      <c r="C175" s="154" t="s">
        <v>424</v>
      </c>
      <c r="D175" s="155" t="s">
        <v>425</v>
      </c>
      <c r="E175" s="153">
        <v>295000</v>
      </c>
      <c r="F175" s="153">
        <f t="shared" si="88"/>
        <v>295000</v>
      </c>
      <c r="G175" s="31">
        <f t="shared" si="60"/>
        <v>0</v>
      </c>
      <c r="H175" s="141"/>
      <c r="I175" s="80">
        <f t="shared" ref="I175:I185" si="89">ROUND(F175,0)</f>
        <v>295000</v>
      </c>
      <c r="J175" s="31">
        <f t="shared" si="62"/>
        <v>0</v>
      </c>
      <c r="K175" s="141"/>
      <c r="L175" s="80">
        <f t="shared" ref="L175" si="90">ROUND(I175,0)</f>
        <v>295000</v>
      </c>
      <c r="M175" s="31">
        <f t="shared" si="64"/>
        <v>0</v>
      </c>
      <c r="N175" s="141"/>
    </row>
    <row r="176" spans="2:14" ht="87.6" customHeight="1" x14ac:dyDescent="0.25">
      <c r="B176" s="64"/>
      <c r="C176" s="154" t="s">
        <v>426</v>
      </c>
      <c r="D176" s="155" t="s">
        <v>427</v>
      </c>
      <c r="E176" s="153">
        <v>261734.66029999999</v>
      </c>
      <c r="F176" s="153">
        <f t="shared" si="88"/>
        <v>261735</v>
      </c>
      <c r="G176" s="31">
        <f t="shared" si="60"/>
        <v>0.33970000001136214</v>
      </c>
      <c r="H176" s="141"/>
      <c r="I176" s="80">
        <f>ROUND(F176,0)+7921</f>
        <v>269656</v>
      </c>
      <c r="J176" s="31">
        <f t="shared" si="62"/>
        <v>7921</v>
      </c>
      <c r="K176" s="141" t="s">
        <v>428</v>
      </c>
      <c r="L176" s="80">
        <f>ROUND(I176,0)+17977+99+410+4242+202+86+55+19408+8457+20000</f>
        <v>340592</v>
      </c>
      <c r="M176" s="31">
        <f t="shared" si="64"/>
        <v>70936</v>
      </c>
      <c r="N176" s="141" t="s">
        <v>429</v>
      </c>
    </row>
    <row r="177" spans="2:14" ht="29.25" hidden="1" customHeight="1" outlineLevel="1" x14ac:dyDescent="0.25">
      <c r="B177" s="64" t="s">
        <v>430</v>
      </c>
      <c r="C177" s="133" t="s">
        <v>431</v>
      </c>
      <c r="D177" s="152" t="s">
        <v>432</v>
      </c>
      <c r="E177" s="32">
        <v>0</v>
      </c>
      <c r="F177" s="32">
        <f t="shared" si="88"/>
        <v>0</v>
      </c>
      <c r="G177" s="31">
        <f t="shared" si="60"/>
        <v>0</v>
      </c>
      <c r="H177" s="49"/>
      <c r="I177" s="31">
        <f t="shared" si="89"/>
        <v>0</v>
      </c>
      <c r="J177" s="31">
        <f t="shared" si="62"/>
        <v>0</v>
      </c>
      <c r="K177" s="49"/>
      <c r="L177" s="31">
        <f t="shared" ref="L177:L185" si="91">ROUND(I177,0)</f>
        <v>0</v>
      </c>
      <c r="M177" s="31">
        <f t="shared" si="64"/>
        <v>0</v>
      </c>
      <c r="N177" s="49"/>
    </row>
    <row r="178" spans="2:14" ht="39.6" customHeight="1" collapsed="1" x14ac:dyDescent="0.25">
      <c r="B178" s="64" t="s">
        <v>433</v>
      </c>
      <c r="C178" s="144" t="s">
        <v>434</v>
      </c>
      <c r="D178" s="146" t="s">
        <v>199</v>
      </c>
      <c r="E178" s="32">
        <v>391245.35220000002</v>
      </c>
      <c r="F178" s="32">
        <f t="shared" si="88"/>
        <v>391245</v>
      </c>
      <c r="G178" s="31">
        <f t="shared" si="60"/>
        <v>-0.35220000002300367</v>
      </c>
      <c r="H178" s="141"/>
      <c r="I178" s="31">
        <f t="shared" si="89"/>
        <v>391245</v>
      </c>
      <c r="J178" s="31">
        <f t="shared" si="62"/>
        <v>0</v>
      </c>
      <c r="K178" s="141"/>
      <c r="L178" s="31">
        <f t="shared" si="91"/>
        <v>391245</v>
      </c>
      <c r="M178" s="31">
        <f t="shared" si="64"/>
        <v>0</v>
      </c>
      <c r="N178" s="141"/>
    </row>
    <row r="179" spans="2:14" ht="16.149999999999999" customHeight="1" x14ac:dyDescent="0.25">
      <c r="B179" s="64"/>
      <c r="C179" s="144" t="s">
        <v>435</v>
      </c>
      <c r="D179" s="146" t="s">
        <v>436</v>
      </c>
      <c r="E179" s="32">
        <v>32000</v>
      </c>
      <c r="F179" s="32">
        <f t="shared" si="88"/>
        <v>32000</v>
      </c>
      <c r="G179" s="31">
        <f t="shared" si="60"/>
        <v>0</v>
      </c>
      <c r="H179" s="141"/>
      <c r="I179" s="31">
        <f t="shared" si="89"/>
        <v>32000</v>
      </c>
      <c r="J179" s="31">
        <f t="shared" si="62"/>
        <v>0</v>
      </c>
      <c r="K179" s="141"/>
      <c r="L179" s="31">
        <f t="shared" si="91"/>
        <v>32000</v>
      </c>
      <c r="M179" s="31">
        <f t="shared" si="64"/>
        <v>0</v>
      </c>
      <c r="N179" s="141" t="s">
        <v>437</v>
      </c>
    </row>
    <row r="180" spans="2:14" ht="59.45" customHeight="1" x14ac:dyDescent="0.25">
      <c r="B180" s="64"/>
      <c r="C180" s="144" t="s">
        <v>438</v>
      </c>
      <c r="D180" s="146" t="s">
        <v>315</v>
      </c>
      <c r="E180" s="32">
        <v>293146</v>
      </c>
      <c r="F180" s="32">
        <f t="shared" si="88"/>
        <v>293146</v>
      </c>
      <c r="G180" s="31">
        <f t="shared" si="60"/>
        <v>0</v>
      </c>
      <c r="H180" s="141"/>
      <c r="I180" s="31">
        <f t="shared" si="89"/>
        <v>293146</v>
      </c>
      <c r="J180" s="31">
        <f t="shared" si="62"/>
        <v>0</v>
      </c>
      <c r="K180" s="141"/>
      <c r="L180" s="31">
        <f>ROUND(I180,0)+57326</f>
        <v>350472</v>
      </c>
      <c r="M180" s="31">
        <f t="shared" si="64"/>
        <v>57326</v>
      </c>
      <c r="N180" s="141" t="s">
        <v>316</v>
      </c>
    </row>
    <row r="181" spans="2:14" ht="28.15" customHeight="1" x14ac:dyDescent="0.25">
      <c r="B181" s="64"/>
      <c r="C181" s="144" t="s">
        <v>439</v>
      </c>
      <c r="D181" s="146" t="s">
        <v>318</v>
      </c>
      <c r="E181" s="32">
        <v>180000</v>
      </c>
      <c r="F181" s="32">
        <f t="shared" si="88"/>
        <v>180000</v>
      </c>
      <c r="G181" s="31">
        <f t="shared" si="60"/>
        <v>0</v>
      </c>
      <c r="H181" s="141"/>
      <c r="I181" s="31">
        <f t="shared" si="89"/>
        <v>180000</v>
      </c>
      <c r="J181" s="31">
        <f t="shared" si="62"/>
        <v>0</v>
      </c>
      <c r="K181" s="141"/>
      <c r="L181" s="31">
        <f t="shared" si="91"/>
        <v>180000</v>
      </c>
      <c r="M181" s="31">
        <f t="shared" si="64"/>
        <v>0</v>
      </c>
      <c r="N181" s="141"/>
    </row>
    <row r="182" spans="2:14" ht="18.600000000000001" customHeight="1" x14ac:dyDescent="0.25">
      <c r="B182" s="64"/>
      <c r="C182" s="144" t="s">
        <v>440</v>
      </c>
      <c r="D182" s="152" t="s">
        <v>311</v>
      </c>
      <c r="E182" s="32">
        <v>645000</v>
      </c>
      <c r="F182" s="32">
        <f t="shared" si="88"/>
        <v>645000</v>
      </c>
      <c r="G182" s="31">
        <f t="shared" si="60"/>
        <v>0</v>
      </c>
      <c r="H182" s="141"/>
      <c r="I182" s="31">
        <f t="shared" si="89"/>
        <v>645000</v>
      </c>
      <c r="J182" s="31">
        <f t="shared" si="62"/>
        <v>0</v>
      </c>
      <c r="K182" s="141"/>
      <c r="L182" s="31">
        <f t="shared" si="91"/>
        <v>645000</v>
      </c>
      <c r="M182" s="31">
        <f t="shared" si="64"/>
        <v>0</v>
      </c>
      <c r="N182" s="141"/>
    </row>
    <row r="183" spans="2:14" ht="18.600000000000001" customHeight="1" x14ac:dyDescent="0.25">
      <c r="B183" s="64"/>
      <c r="C183" s="144" t="s">
        <v>441</v>
      </c>
      <c r="D183" s="152" t="s">
        <v>234</v>
      </c>
      <c r="E183" s="32">
        <v>546771</v>
      </c>
      <c r="F183" s="32">
        <f>ROUND(E183,0)</f>
        <v>546771</v>
      </c>
      <c r="G183" s="31">
        <f>F183-E183</f>
        <v>0</v>
      </c>
      <c r="H183" s="141"/>
      <c r="I183" s="31">
        <f t="shared" si="89"/>
        <v>546771</v>
      </c>
      <c r="J183" s="31">
        <f t="shared" si="62"/>
        <v>0</v>
      </c>
      <c r="K183" s="141"/>
      <c r="L183" s="31">
        <f t="shared" si="91"/>
        <v>546771</v>
      </c>
      <c r="M183" s="31">
        <f t="shared" si="64"/>
        <v>0</v>
      </c>
      <c r="N183" s="141" t="s">
        <v>437</v>
      </c>
    </row>
    <row r="184" spans="2:14" ht="18" customHeight="1" x14ac:dyDescent="0.25">
      <c r="B184" s="64"/>
      <c r="C184" s="144" t="s">
        <v>442</v>
      </c>
      <c r="D184" s="152" t="s">
        <v>236</v>
      </c>
      <c r="E184" s="32">
        <v>1204480</v>
      </c>
      <c r="F184" s="32">
        <f>ROUND(E184,0)</f>
        <v>1204480</v>
      </c>
      <c r="G184" s="31">
        <f>F184-E184</f>
        <v>0</v>
      </c>
      <c r="H184" s="141"/>
      <c r="I184" s="31">
        <f t="shared" si="89"/>
        <v>1204480</v>
      </c>
      <c r="J184" s="31">
        <f t="shared" si="62"/>
        <v>0</v>
      </c>
      <c r="K184" s="141"/>
      <c r="L184" s="31">
        <f t="shared" si="91"/>
        <v>1204480</v>
      </c>
      <c r="M184" s="31">
        <f t="shared" si="64"/>
        <v>0</v>
      </c>
      <c r="N184" s="141"/>
    </row>
    <row r="185" spans="2:14" ht="27.6" customHeight="1" x14ac:dyDescent="0.25">
      <c r="B185" s="64" t="s">
        <v>443</v>
      </c>
      <c r="C185" s="144" t="s">
        <v>444</v>
      </c>
      <c r="D185" s="152" t="s">
        <v>445</v>
      </c>
      <c r="E185" s="32">
        <v>40898</v>
      </c>
      <c r="F185" s="32">
        <f>ROUND(E185,0)</f>
        <v>40898</v>
      </c>
      <c r="G185" s="31">
        <f>F185-E185</f>
        <v>0</v>
      </c>
      <c r="H185" s="49"/>
      <c r="I185" s="31">
        <f t="shared" si="89"/>
        <v>40898</v>
      </c>
      <c r="J185" s="31">
        <f t="shared" si="62"/>
        <v>0</v>
      </c>
      <c r="K185" s="49"/>
      <c r="L185" s="31">
        <f t="shared" si="91"/>
        <v>40898</v>
      </c>
      <c r="M185" s="31">
        <f t="shared" si="64"/>
        <v>0</v>
      </c>
      <c r="N185" s="49"/>
    </row>
    <row r="186" spans="2:14" x14ac:dyDescent="0.25">
      <c r="C186" s="129" t="s">
        <v>98</v>
      </c>
      <c r="D186" s="130" t="s">
        <v>446</v>
      </c>
      <c r="E186" s="38">
        <v>2486998.34369</v>
      </c>
      <c r="F186" s="38">
        <f t="shared" ref="F186" si="92">SUM(F187,F191:F198)</f>
        <v>2486999</v>
      </c>
      <c r="G186" s="37">
        <f>SUM(G187,G192:G198)</f>
        <v>0.25630999998065818</v>
      </c>
      <c r="H186" s="37"/>
      <c r="I186" s="37">
        <f t="shared" ref="I186" si="93">SUM(I187,I191:I198)</f>
        <v>2523654</v>
      </c>
      <c r="J186" s="37">
        <f t="shared" si="62"/>
        <v>36655</v>
      </c>
      <c r="K186" s="37"/>
      <c r="L186" s="37">
        <f t="shared" ref="L186" si="94">SUM(L187,L191:L198)</f>
        <v>2540654</v>
      </c>
      <c r="M186" s="37">
        <f t="shared" si="64"/>
        <v>17000</v>
      </c>
      <c r="N186" s="37"/>
    </row>
    <row r="187" spans="2:14" ht="23.25" customHeight="1" x14ac:dyDescent="0.25">
      <c r="C187" s="125" t="s">
        <v>101</v>
      </c>
      <c r="D187" s="126" t="s">
        <v>447</v>
      </c>
      <c r="E187" s="66">
        <v>1187107.66267</v>
      </c>
      <c r="F187" s="66">
        <f t="shared" ref="F187:G187" si="95">SUM(F188:F190)</f>
        <v>1187108</v>
      </c>
      <c r="G187" s="54">
        <f t="shared" si="95"/>
        <v>0.3373299999802839</v>
      </c>
      <c r="H187" s="54"/>
      <c r="I187" s="54">
        <f t="shared" ref="I187" si="96">SUM(I188:I190)</f>
        <v>1189606</v>
      </c>
      <c r="J187" s="54">
        <f t="shared" si="62"/>
        <v>2498</v>
      </c>
      <c r="K187" s="54"/>
      <c r="L187" s="54">
        <f t="shared" ref="L187" si="97">SUM(L188:L190)</f>
        <v>1206606</v>
      </c>
      <c r="M187" s="54">
        <f t="shared" si="64"/>
        <v>17000</v>
      </c>
      <c r="N187" s="54"/>
    </row>
    <row r="188" spans="2:14" ht="82.15" customHeight="1" x14ac:dyDescent="0.25">
      <c r="B188" s="64" t="s">
        <v>448</v>
      </c>
      <c r="C188" s="133" t="s">
        <v>449</v>
      </c>
      <c r="D188" s="134" t="s">
        <v>450</v>
      </c>
      <c r="E188" s="32">
        <v>589107.49502000003</v>
      </c>
      <c r="F188" s="32">
        <f>ROUND(E188,0)</f>
        <v>589107</v>
      </c>
      <c r="G188" s="31">
        <f t="shared" si="60"/>
        <v>-0.49502000003121793</v>
      </c>
      <c r="H188" s="141"/>
      <c r="I188" s="31">
        <f>ROUND(F188,0)+2498</f>
        <v>591605</v>
      </c>
      <c r="J188" s="34">
        <f t="shared" si="62"/>
        <v>2498</v>
      </c>
      <c r="K188" s="157" t="s">
        <v>451</v>
      </c>
      <c r="L188" s="31">
        <f>ROUND(I188,0)+17000</f>
        <v>608605</v>
      </c>
      <c r="M188" s="31">
        <f t="shared" si="64"/>
        <v>17000</v>
      </c>
      <c r="N188" s="158" t="s">
        <v>452</v>
      </c>
    </row>
    <row r="189" spans="2:14" ht="18" customHeight="1" x14ac:dyDescent="0.25">
      <c r="B189" s="64" t="s">
        <v>453</v>
      </c>
      <c r="C189" s="133" t="s">
        <v>454</v>
      </c>
      <c r="D189" s="134" t="s">
        <v>455</v>
      </c>
      <c r="E189" s="32">
        <v>409633.66324999998</v>
      </c>
      <c r="F189" s="32">
        <f>ROUND(E189,0)</f>
        <v>409634</v>
      </c>
      <c r="G189" s="31">
        <f t="shared" si="60"/>
        <v>0.33675000001676381</v>
      </c>
      <c r="H189" s="141"/>
      <c r="I189" s="31">
        <f t="shared" ref="I189:I193" si="98">ROUND(F189,0)</f>
        <v>409634</v>
      </c>
      <c r="J189" s="31">
        <f t="shared" si="62"/>
        <v>0</v>
      </c>
      <c r="K189" s="141"/>
      <c r="L189" s="31">
        <f t="shared" ref="L189:L190" si="99">ROUND(I189,0)</f>
        <v>409634</v>
      </c>
      <c r="M189" s="31">
        <f t="shared" si="64"/>
        <v>0</v>
      </c>
      <c r="N189" s="141"/>
    </row>
    <row r="190" spans="2:14" ht="13.15" customHeight="1" x14ac:dyDescent="0.25">
      <c r="B190" s="64" t="s">
        <v>456</v>
      </c>
      <c r="C190" s="133" t="s">
        <v>457</v>
      </c>
      <c r="D190" s="134" t="s">
        <v>458</v>
      </c>
      <c r="E190" s="32">
        <v>188366.50440000001</v>
      </c>
      <c r="F190" s="32">
        <f>ROUND(E190,0)</f>
        <v>188367</v>
      </c>
      <c r="G190" s="31">
        <f t="shared" si="60"/>
        <v>0.49559999999473803</v>
      </c>
      <c r="H190" s="49"/>
      <c r="I190" s="31">
        <f t="shared" si="98"/>
        <v>188367</v>
      </c>
      <c r="J190" s="31">
        <f t="shared" si="62"/>
        <v>0</v>
      </c>
      <c r="K190" s="49"/>
      <c r="L190" s="31">
        <f t="shared" si="99"/>
        <v>188367</v>
      </c>
      <c r="M190" s="31">
        <f t="shared" si="64"/>
        <v>0</v>
      </c>
      <c r="N190" s="49"/>
    </row>
    <row r="191" spans="2:14" ht="30" customHeight="1" x14ac:dyDescent="0.25">
      <c r="B191" s="64" t="s">
        <v>459</v>
      </c>
      <c r="C191" s="159" t="s">
        <v>103</v>
      </c>
      <c r="D191" s="126" t="s">
        <v>460</v>
      </c>
      <c r="E191" s="66">
        <v>135145.60000000001</v>
      </c>
      <c r="F191" s="66">
        <f>ROUND(E191,0)</f>
        <v>135146</v>
      </c>
      <c r="G191" s="54">
        <f>F191-E191</f>
        <v>0.39999999999417923</v>
      </c>
      <c r="H191" s="160"/>
      <c r="I191" s="54">
        <f>ROUND(F191,0)+20000</f>
        <v>155146</v>
      </c>
      <c r="J191" s="68">
        <f t="shared" si="62"/>
        <v>20000</v>
      </c>
      <c r="K191" s="161" t="s">
        <v>461</v>
      </c>
      <c r="L191" s="54">
        <f>ROUND(I191,0)</f>
        <v>155146</v>
      </c>
      <c r="M191" s="54">
        <f t="shared" si="64"/>
        <v>0</v>
      </c>
      <c r="N191" s="160"/>
    </row>
    <row r="192" spans="2:14" ht="29.45" customHeight="1" x14ac:dyDescent="0.25">
      <c r="B192" s="64" t="s">
        <v>462</v>
      </c>
      <c r="C192" s="159" t="s">
        <v>463</v>
      </c>
      <c r="D192" s="126" t="s">
        <v>464</v>
      </c>
      <c r="E192" s="66">
        <v>212422.11000000002</v>
      </c>
      <c r="F192" s="66">
        <f t="shared" ref="F192:F198" si="100">ROUND(E192,0)</f>
        <v>212422</v>
      </c>
      <c r="G192" s="54">
        <f t="shared" si="60"/>
        <v>-0.11000000001513399</v>
      </c>
      <c r="H192" s="160"/>
      <c r="I192" s="54">
        <f t="shared" si="98"/>
        <v>212422</v>
      </c>
      <c r="J192" s="54">
        <f t="shared" si="62"/>
        <v>0</v>
      </c>
      <c r="K192" s="160"/>
      <c r="L192" s="54">
        <f t="shared" ref="L192:L193" si="101">ROUND(I192,0)</f>
        <v>212422</v>
      </c>
      <c r="M192" s="54">
        <f t="shared" si="64"/>
        <v>0</v>
      </c>
      <c r="N192" s="160"/>
    </row>
    <row r="193" spans="2:14" ht="27" customHeight="1" x14ac:dyDescent="0.25">
      <c r="B193" s="64" t="s">
        <v>465</v>
      </c>
      <c r="C193" s="159" t="s">
        <v>466</v>
      </c>
      <c r="D193" s="126" t="s">
        <v>223</v>
      </c>
      <c r="E193" s="66">
        <v>15704.03</v>
      </c>
      <c r="F193" s="66">
        <f t="shared" si="100"/>
        <v>15704</v>
      </c>
      <c r="G193" s="54">
        <f t="shared" si="60"/>
        <v>-3.0000000000654836E-2</v>
      </c>
      <c r="H193" s="67"/>
      <c r="I193" s="54">
        <f t="shared" si="98"/>
        <v>15704</v>
      </c>
      <c r="J193" s="54">
        <f t="shared" si="62"/>
        <v>0</v>
      </c>
      <c r="K193" s="67"/>
      <c r="L193" s="54">
        <f t="shared" si="101"/>
        <v>15704</v>
      </c>
      <c r="M193" s="54">
        <f t="shared" si="64"/>
        <v>0</v>
      </c>
      <c r="N193" s="67"/>
    </row>
    <row r="194" spans="2:14" ht="15" customHeight="1" x14ac:dyDescent="0.25">
      <c r="B194" s="64" t="s">
        <v>467</v>
      </c>
      <c r="C194" s="125" t="s">
        <v>468</v>
      </c>
      <c r="D194" s="126" t="s">
        <v>469</v>
      </c>
      <c r="E194" s="66">
        <v>121138.2865</v>
      </c>
      <c r="F194" s="66">
        <f t="shared" si="100"/>
        <v>121138</v>
      </c>
      <c r="G194" s="54">
        <f t="shared" si="60"/>
        <v>-0.28650000000197906</v>
      </c>
      <c r="H194" s="160"/>
      <c r="I194" s="54">
        <f>ROUND(F194,0)+13657+500</f>
        <v>135295</v>
      </c>
      <c r="J194" s="68">
        <f t="shared" si="62"/>
        <v>14157</v>
      </c>
      <c r="K194" s="161" t="s">
        <v>470</v>
      </c>
      <c r="L194" s="54">
        <f>ROUND(I194,0)</f>
        <v>135295</v>
      </c>
      <c r="M194" s="54">
        <f t="shared" si="64"/>
        <v>0</v>
      </c>
      <c r="N194" s="160"/>
    </row>
    <row r="195" spans="2:14" ht="15.6" customHeight="1" x14ac:dyDescent="0.25">
      <c r="B195" s="64" t="s">
        <v>471</v>
      </c>
      <c r="C195" s="125" t="s">
        <v>472</v>
      </c>
      <c r="D195" s="126" t="s">
        <v>473</v>
      </c>
      <c r="E195" s="66">
        <v>62655.829250000003</v>
      </c>
      <c r="F195" s="66">
        <f t="shared" si="100"/>
        <v>62656</v>
      </c>
      <c r="G195" s="54">
        <f t="shared" si="60"/>
        <v>0.17074999999749707</v>
      </c>
      <c r="H195" s="160"/>
      <c r="I195" s="54">
        <f>ROUND(F195,0)</f>
        <v>62656</v>
      </c>
      <c r="J195" s="54">
        <f t="shared" si="62"/>
        <v>0</v>
      </c>
      <c r="K195" s="160"/>
      <c r="L195" s="54">
        <f>ROUND(I195,0)</f>
        <v>62656</v>
      </c>
      <c r="M195" s="54">
        <f t="shared" si="64"/>
        <v>0</v>
      </c>
      <c r="N195" s="160"/>
    </row>
    <row r="196" spans="2:14" ht="17.25" customHeight="1" x14ac:dyDescent="0.25">
      <c r="B196" s="64" t="s">
        <v>280</v>
      </c>
      <c r="C196" s="125" t="s">
        <v>474</v>
      </c>
      <c r="D196" s="126" t="s">
        <v>475</v>
      </c>
      <c r="E196" s="66">
        <v>729596.65136999998</v>
      </c>
      <c r="F196" s="66">
        <f t="shared" si="100"/>
        <v>729597</v>
      </c>
      <c r="G196" s="54">
        <f t="shared" ref="G196:G259" si="102">F196-E196</f>
        <v>0.34863000002223998</v>
      </c>
      <c r="H196" s="67"/>
      <c r="I196" s="54">
        <f>ROUND(F196,0)</f>
        <v>729597</v>
      </c>
      <c r="J196" s="54">
        <f t="shared" ref="J196:J259" si="103">I196-F196</f>
        <v>0</v>
      </c>
      <c r="K196" s="67"/>
      <c r="L196" s="54">
        <f>ROUND(I196,0)</f>
        <v>729597</v>
      </c>
      <c r="M196" s="54">
        <f t="shared" ref="M196:M259" si="104">L196-I196</f>
        <v>0</v>
      </c>
      <c r="N196" s="67"/>
    </row>
    <row r="197" spans="2:14" ht="15.6" customHeight="1" x14ac:dyDescent="0.25">
      <c r="B197" s="64" t="s">
        <v>476</v>
      </c>
      <c r="C197" s="125" t="s">
        <v>477</v>
      </c>
      <c r="D197" s="126" t="s">
        <v>478</v>
      </c>
      <c r="E197" s="66">
        <v>4000</v>
      </c>
      <c r="F197" s="66">
        <f t="shared" si="100"/>
        <v>4000</v>
      </c>
      <c r="G197" s="54">
        <f t="shared" si="102"/>
        <v>0</v>
      </c>
      <c r="H197" s="128"/>
      <c r="I197" s="54">
        <f>ROUND(F197,0)</f>
        <v>4000</v>
      </c>
      <c r="J197" s="54">
        <f t="shared" si="103"/>
        <v>0</v>
      </c>
      <c r="K197" s="128"/>
      <c r="L197" s="54">
        <f>ROUND(I197,0)</f>
        <v>4000</v>
      </c>
      <c r="M197" s="54">
        <f t="shared" si="104"/>
        <v>0</v>
      </c>
      <c r="N197" s="128"/>
    </row>
    <row r="198" spans="2:14" ht="15.6" customHeight="1" x14ac:dyDescent="0.25">
      <c r="B198" s="64" t="s">
        <v>479</v>
      </c>
      <c r="C198" s="125" t="s">
        <v>480</v>
      </c>
      <c r="D198" s="126" t="s">
        <v>481</v>
      </c>
      <c r="E198" s="66">
        <v>19228.173900000002</v>
      </c>
      <c r="F198" s="66">
        <f t="shared" si="100"/>
        <v>19228</v>
      </c>
      <c r="G198" s="54">
        <f t="shared" si="102"/>
        <v>-0.17390000000159489</v>
      </c>
      <c r="H198" s="128"/>
      <c r="I198" s="54">
        <f>ROUND(F198,0)</f>
        <v>19228</v>
      </c>
      <c r="J198" s="54">
        <f t="shared" si="103"/>
        <v>0</v>
      </c>
      <c r="K198" s="128"/>
      <c r="L198" s="54">
        <f>ROUND(I198,0)</f>
        <v>19228</v>
      </c>
      <c r="M198" s="54">
        <f t="shared" si="104"/>
        <v>0</v>
      </c>
      <c r="N198" s="128"/>
    </row>
    <row r="199" spans="2:14" s="118" customFormat="1" ht="15.6" customHeight="1" x14ac:dyDescent="0.2">
      <c r="C199" s="129" t="s">
        <v>106</v>
      </c>
      <c r="D199" s="130" t="s">
        <v>482</v>
      </c>
      <c r="E199" s="38">
        <v>4201176.8811799996</v>
      </c>
      <c r="F199" s="38">
        <f t="shared" ref="F199" si="105">F200+F206+F209+F213+F214+F215+F216+F217</f>
        <v>4201177</v>
      </c>
      <c r="G199" s="37">
        <f>G200+G206+G209+G213+G214+G215</f>
        <v>0.11881999997422099</v>
      </c>
      <c r="H199" s="37"/>
      <c r="I199" s="37">
        <f t="shared" ref="I199" si="106">I200+I206+I209+I213+I214+I215+I216+I217</f>
        <v>4179627</v>
      </c>
      <c r="J199" s="37">
        <f t="shared" si="103"/>
        <v>-21550</v>
      </c>
      <c r="K199" s="37"/>
      <c r="L199" s="37">
        <f t="shared" ref="L199" si="107">L200+L206+L209+L213+L214+L215+L216+L217</f>
        <v>4179627</v>
      </c>
      <c r="M199" s="37">
        <f t="shared" si="104"/>
        <v>0</v>
      </c>
      <c r="N199" s="37"/>
    </row>
    <row r="200" spans="2:14" s="118" customFormat="1" ht="15" customHeight="1" x14ac:dyDescent="0.25">
      <c r="C200" s="125" t="s">
        <v>109</v>
      </c>
      <c r="D200" s="126" t="s">
        <v>483</v>
      </c>
      <c r="E200" s="66">
        <v>2428655</v>
      </c>
      <c r="F200" s="66">
        <f t="shared" ref="F200:G200" si="108">F201+F202+F203+F204+F205</f>
        <v>2428655</v>
      </c>
      <c r="G200" s="54">
        <f t="shared" si="108"/>
        <v>0</v>
      </c>
      <c r="H200" s="54"/>
      <c r="I200" s="54">
        <f t="shared" ref="I200" si="109">I201+I202+I203+I204+I205</f>
        <v>2415355</v>
      </c>
      <c r="J200" s="54">
        <f t="shared" si="103"/>
        <v>-13300</v>
      </c>
      <c r="K200" s="54"/>
      <c r="L200" s="54">
        <f t="shared" ref="L200" si="110">L201+L202+L203+L204+L205</f>
        <v>2415355</v>
      </c>
      <c r="M200" s="54">
        <f t="shared" si="104"/>
        <v>0</v>
      </c>
      <c r="N200" s="54"/>
    </row>
    <row r="201" spans="2:14" s="162" customFormat="1" ht="16.899999999999999" customHeight="1" outlineLevel="1" x14ac:dyDescent="0.25">
      <c r="B201" s="162">
        <v>1010</v>
      </c>
      <c r="C201" s="163" t="s">
        <v>484</v>
      </c>
      <c r="D201" s="164" t="s">
        <v>485</v>
      </c>
      <c r="E201" s="165">
        <v>601819</v>
      </c>
      <c r="F201" s="165">
        <f>ROUND(E201,0)</f>
        <v>601819</v>
      </c>
      <c r="G201" s="156">
        <f t="shared" si="102"/>
        <v>0</v>
      </c>
      <c r="H201" s="166"/>
      <c r="I201" s="156">
        <f>ROUND(F201,0)-13300</f>
        <v>588519</v>
      </c>
      <c r="J201" s="167">
        <f t="shared" si="103"/>
        <v>-13300</v>
      </c>
      <c r="K201" s="142" t="s">
        <v>328</v>
      </c>
      <c r="L201" s="156">
        <f>ROUND(I201,0)</f>
        <v>588519</v>
      </c>
      <c r="M201" s="156">
        <f t="shared" si="104"/>
        <v>0</v>
      </c>
      <c r="N201" s="141"/>
    </row>
    <row r="202" spans="2:14" s="162" customFormat="1" ht="16.149999999999999" customHeight="1" outlineLevel="1" x14ac:dyDescent="0.25">
      <c r="B202" s="162">
        <v>1010</v>
      </c>
      <c r="C202" s="163" t="s">
        <v>486</v>
      </c>
      <c r="D202" s="164" t="s">
        <v>487</v>
      </c>
      <c r="E202" s="165">
        <v>1373990</v>
      </c>
      <c r="F202" s="165">
        <f>ROUND(E202,0)</f>
        <v>1373990</v>
      </c>
      <c r="G202" s="156">
        <f t="shared" si="102"/>
        <v>0</v>
      </c>
      <c r="H202" s="67"/>
      <c r="I202" s="156">
        <f>ROUND(F202,0)</f>
        <v>1373990</v>
      </c>
      <c r="J202" s="156">
        <f t="shared" si="103"/>
        <v>0</v>
      </c>
      <c r="K202" s="70"/>
      <c r="L202" s="156">
        <f>ROUND(I202,0)</f>
        <v>1373990</v>
      </c>
      <c r="M202" s="156">
        <f t="shared" si="104"/>
        <v>0</v>
      </c>
      <c r="N202" s="70"/>
    </row>
    <row r="203" spans="2:14" s="162" customFormat="1" ht="17.45" customHeight="1" outlineLevel="1" x14ac:dyDescent="0.25">
      <c r="B203" s="162">
        <v>1010</v>
      </c>
      <c r="C203" s="163" t="s">
        <v>488</v>
      </c>
      <c r="D203" s="164" t="s">
        <v>489</v>
      </c>
      <c r="E203" s="165">
        <v>25954</v>
      </c>
      <c r="F203" s="165">
        <f>ROUND(E203,0)</f>
        <v>25954</v>
      </c>
      <c r="G203" s="156">
        <f t="shared" si="102"/>
        <v>0</v>
      </c>
      <c r="H203" s="70"/>
      <c r="I203" s="156">
        <f>ROUND(F203,0)</f>
        <v>25954</v>
      </c>
      <c r="J203" s="156">
        <f t="shared" si="103"/>
        <v>0</v>
      </c>
      <c r="K203" s="70"/>
      <c r="L203" s="156">
        <f>ROUND(I203,0)</f>
        <v>25954</v>
      </c>
      <c r="M203" s="156">
        <f t="shared" si="104"/>
        <v>0</v>
      </c>
      <c r="N203" s="70"/>
    </row>
    <row r="204" spans="2:14" s="162" customFormat="1" outlineLevel="1" x14ac:dyDescent="0.25">
      <c r="B204" s="162">
        <v>1012</v>
      </c>
      <c r="C204" s="163" t="s">
        <v>490</v>
      </c>
      <c r="D204" s="164" t="s">
        <v>491</v>
      </c>
      <c r="E204" s="165">
        <v>421092</v>
      </c>
      <c r="F204" s="165">
        <f>ROUND(E204,0)</f>
        <v>421092</v>
      </c>
      <c r="G204" s="156">
        <f t="shared" si="102"/>
        <v>0</v>
      </c>
      <c r="H204" s="166"/>
      <c r="I204" s="156">
        <f>ROUND(F204,0)</f>
        <v>421092</v>
      </c>
      <c r="J204" s="156">
        <f t="shared" si="103"/>
        <v>0</v>
      </c>
      <c r="K204" s="166"/>
      <c r="L204" s="156">
        <f>ROUND(I204,0)</f>
        <v>421092</v>
      </c>
      <c r="M204" s="156">
        <f t="shared" si="104"/>
        <v>0</v>
      </c>
      <c r="N204" s="166"/>
    </row>
    <row r="205" spans="2:14" s="162" customFormat="1" outlineLevel="1" x14ac:dyDescent="0.25">
      <c r="B205" s="162">
        <v>1015</v>
      </c>
      <c r="C205" s="163" t="s">
        <v>492</v>
      </c>
      <c r="D205" s="164" t="s">
        <v>493</v>
      </c>
      <c r="E205" s="165">
        <v>5800</v>
      </c>
      <c r="F205" s="165">
        <f>ROUND(E205,0)</f>
        <v>5800</v>
      </c>
      <c r="G205" s="156">
        <f t="shared" si="102"/>
        <v>0</v>
      </c>
      <c r="H205" s="166"/>
      <c r="I205" s="156">
        <f>ROUND(F205,0)</f>
        <v>5800</v>
      </c>
      <c r="J205" s="156">
        <f t="shared" si="103"/>
        <v>0</v>
      </c>
      <c r="K205" s="166"/>
      <c r="L205" s="156">
        <f>ROUND(I205,0)</f>
        <v>5800</v>
      </c>
      <c r="M205" s="156">
        <f t="shared" si="104"/>
        <v>0</v>
      </c>
      <c r="N205" s="166"/>
    </row>
    <row r="206" spans="2:14" s="118" customFormat="1" ht="19.5" customHeight="1" x14ac:dyDescent="0.25">
      <c r="C206" s="125" t="s">
        <v>114</v>
      </c>
      <c r="D206" s="126" t="s">
        <v>494</v>
      </c>
      <c r="E206" s="66">
        <v>10038</v>
      </c>
      <c r="F206" s="66">
        <f>F207+F208</f>
        <v>10038</v>
      </c>
      <c r="G206" s="54">
        <f t="shared" si="102"/>
        <v>0</v>
      </c>
      <c r="H206" s="67"/>
      <c r="I206" s="54">
        <f>I207+I208</f>
        <v>10038</v>
      </c>
      <c r="J206" s="54">
        <f t="shared" si="103"/>
        <v>0</v>
      </c>
      <c r="K206" s="67"/>
      <c r="L206" s="54">
        <f>L207+L208</f>
        <v>10038</v>
      </c>
      <c r="M206" s="54">
        <f t="shared" si="104"/>
        <v>0</v>
      </c>
      <c r="N206" s="67"/>
    </row>
    <row r="207" spans="2:14" s="162" customFormat="1" outlineLevel="1" x14ac:dyDescent="0.25">
      <c r="B207" s="162">
        <v>1011</v>
      </c>
      <c r="C207" s="163" t="s">
        <v>495</v>
      </c>
      <c r="D207" s="164" t="s">
        <v>496</v>
      </c>
      <c r="E207" s="165">
        <v>1407</v>
      </c>
      <c r="F207" s="165">
        <f>ROUND(E207,0)</f>
        <v>1407</v>
      </c>
      <c r="G207" s="156">
        <f t="shared" si="102"/>
        <v>0</v>
      </c>
      <c r="H207" s="166"/>
      <c r="I207" s="156">
        <f>ROUND(F207,0)</f>
        <v>1407</v>
      </c>
      <c r="J207" s="156">
        <f t="shared" si="103"/>
        <v>0</v>
      </c>
      <c r="K207" s="166"/>
      <c r="L207" s="156">
        <f>ROUND(I207,0)</f>
        <v>1407</v>
      </c>
      <c r="M207" s="156">
        <f t="shared" si="104"/>
        <v>0</v>
      </c>
      <c r="N207" s="166"/>
    </row>
    <row r="208" spans="2:14" s="162" customFormat="1" outlineLevel="1" x14ac:dyDescent="0.25">
      <c r="B208" s="162">
        <v>1011</v>
      </c>
      <c r="C208" s="163" t="s">
        <v>497</v>
      </c>
      <c r="D208" s="164" t="s">
        <v>498</v>
      </c>
      <c r="E208" s="165">
        <v>8631</v>
      </c>
      <c r="F208" s="165">
        <f>ROUND(E208,0)</f>
        <v>8631</v>
      </c>
      <c r="G208" s="156">
        <f t="shared" si="102"/>
        <v>0</v>
      </c>
      <c r="H208" s="166"/>
      <c r="I208" s="156">
        <f>ROUND(F208,0)</f>
        <v>8631</v>
      </c>
      <c r="J208" s="156">
        <f t="shared" si="103"/>
        <v>0</v>
      </c>
      <c r="K208" s="166"/>
      <c r="L208" s="156">
        <f>ROUND(I208,0)</f>
        <v>8631</v>
      </c>
      <c r="M208" s="156">
        <f t="shared" si="104"/>
        <v>0</v>
      </c>
      <c r="N208" s="166"/>
    </row>
    <row r="209" spans="2:14" s="118" customFormat="1" ht="30.6" customHeight="1" x14ac:dyDescent="0.25">
      <c r="C209" s="125" t="s">
        <v>116</v>
      </c>
      <c r="D209" s="126" t="s">
        <v>499</v>
      </c>
      <c r="E209" s="169">
        <v>839598</v>
      </c>
      <c r="F209" s="169">
        <f t="shared" ref="F209:G209" si="111">SUM(F210:F212)</f>
        <v>839598</v>
      </c>
      <c r="G209" s="168">
        <f t="shared" si="111"/>
        <v>0</v>
      </c>
      <c r="H209" s="128"/>
      <c r="I209" s="168">
        <f t="shared" ref="I209" si="112">SUM(I210:I212)</f>
        <v>818057</v>
      </c>
      <c r="J209" s="168">
        <f t="shared" si="103"/>
        <v>-21541</v>
      </c>
      <c r="K209" s="128"/>
      <c r="L209" s="168">
        <f t="shared" ref="L209" si="113">SUM(L210:L212)</f>
        <v>818057</v>
      </c>
      <c r="M209" s="168">
        <f t="shared" si="104"/>
        <v>0</v>
      </c>
      <c r="N209" s="128"/>
    </row>
    <row r="210" spans="2:14" s="118" customFormat="1" ht="15" customHeight="1" x14ac:dyDescent="0.25">
      <c r="B210" s="1" t="s">
        <v>500</v>
      </c>
      <c r="C210" s="170" t="s">
        <v>501</v>
      </c>
      <c r="D210" s="171" t="s">
        <v>502</v>
      </c>
      <c r="E210" s="32">
        <v>347838</v>
      </c>
      <c r="F210" s="32">
        <f t="shared" ref="F210:F215" si="114">ROUND(E210,0)</f>
        <v>347838</v>
      </c>
      <c r="G210" s="31">
        <f t="shared" si="102"/>
        <v>0</v>
      </c>
      <c r="H210" s="33"/>
      <c r="I210" s="31">
        <f>ROUND(F210,0)-21541</f>
        <v>326297</v>
      </c>
      <c r="J210" s="34">
        <f t="shared" si="103"/>
        <v>-21541</v>
      </c>
      <c r="K210" s="142" t="s">
        <v>328</v>
      </c>
      <c r="L210" s="31">
        <f>ROUND(I210,0)</f>
        <v>326297</v>
      </c>
      <c r="M210" s="31">
        <f t="shared" si="104"/>
        <v>0</v>
      </c>
      <c r="N210" s="141"/>
    </row>
    <row r="211" spans="2:14" s="118" customFormat="1" ht="15.75" customHeight="1" x14ac:dyDescent="0.25">
      <c r="B211" s="1" t="s">
        <v>500</v>
      </c>
      <c r="C211" s="172" t="s">
        <v>503</v>
      </c>
      <c r="D211" s="171" t="s">
        <v>504</v>
      </c>
      <c r="E211" s="32">
        <v>161090</v>
      </c>
      <c r="F211" s="32">
        <f t="shared" si="114"/>
        <v>161090</v>
      </c>
      <c r="G211" s="31">
        <f t="shared" si="102"/>
        <v>0</v>
      </c>
      <c r="H211" s="33"/>
      <c r="I211" s="31">
        <f t="shared" ref="I211:I217" si="115">ROUND(F211,0)</f>
        <v>161090</v>
      </c>
      <c r="J211" s="31">
        <f t="shared" si="103"/>
        <v>0</v>
      </c>
      <c r="K211" s="33"/>
      <c r="L211" s="31">
        <f t="shared" ref="L211:L212" si="116">ROUND(I211,0)</f>
        <v>161090</v>
      </c>
      <c r="M211" s="31">
        <f t="shared" si="104"/>
        <v>0</v>
      </c>
      <c r="N211" s="33"/>
    </row>
    <row r="212" spans="2:14" s="118" customFormat="1" ht="15.6" customHeight="1" x14ac:dyDescent="0.25">
      <c r="B212" s="1" t="s">
        <v>505</v>
      </c>
      <c r="C212" s="170" t="s">
        <v>506</v>
      </c>
      <c r="D212" s="171" t="s">
        <v>507</v>
      </c>
      <c r="E212" s="32">
        <v>330670</v>
      </c>
      <c r="F212" s="32">
        <f t="shared" si="114"/>
        <v>330670</v>
      </c>
      <c r="G212" s="31">
        <f t="shared" si="102"/>
        <v>0</v>
      </c>
      <c r="H212" s="33"/>
      <c r="I212" s="31">
        <f t="shared" si="115"/>
        <v>330670</v>
      </c>
      <c r="J212" s="31">
        <f t="shared" si="103"/>
        <v>0</v>
      </c>
      <c r="K212" s="33"/>
      <c r="L212" s="31">
        <f t="shared" si="116"/>
        <v>330670</v>
      </c>
      <c r="M212" s="31">
        <f t="shared" si="104"/>
        <v>0</v>
      </c>
      <c r="N212" s="33"/>
    </row>
    <row r="213" spans="2:14" s="118" customFormat="1" ht="16.149999999999999" customHeight="1" x14ac:dyDescent="0.25">
      <c r="C213" s="125" t="s">
        <v>508</v>
      </c>
      <c r="D213" s="126" t="s">
        <v>509</v>
      </c>
      <c r="E213" s="66">
        <v>132505.09117999999</v>
      </c>
      <c r="F213" s="66">
        <f t="shared" si="114"/>
        <v>132505</v>
      </c>
      <c r="G213" s="54">
        <f t="shared" si="102"/>
        <v>-9.1179999988526106E-2</v>
      </c>
      <c r="H213" s="128"/>
      <c r="I213" s="54">
        <f>ROUND(F213,0)-6709</f>
        <v>125796</v>
      </c>
      <c r="J213" s="68">
        <f t="shared" si="103"/>
        <v>-6709</v>
      </c>
      <c r="K213" s="127" t="s">
        <v>328</v>
      </c>
      <c r="L213" s="54">
        <f>ROUND(I213,0)</f>
        <v>125796</v>
      </c>
      <c r="M213" s="54">
        <f t="shared" si="104"/>
        <v>0</v>
      </c>
      <c r="N213" s="67"/>
    </row>
    <row r="214" spans="2:14" s="118" customFormat="1" ht="18.75" customHeight="1" x14ac:dyDescent="0.25">
      <c r="B214" s="1">
        <v>1016</v>
      </c>
      <c r="C214" s="125" t="s">
        <v>510</v>
      </c>
      <c r="D214" s="126" t="s">
        <v>176</v>
      </c>
      <c r="E214" s="66">
        <v>50000</v>
      </c>
      <c r="F214" s="66">
        <f t="shared" si="114"/>
        <v>50000</v>
      </c>
      <c r="G214" s="54">
        <f t="shared" si="102"/>
        <v>0</v>
      </c>
      <c r="H214" s="128"/>
      <c r="I214" s="54">
        <f>ROUND(F214,0)+20000</f>
        <v>70000</v>
      </c>
      <c r="J214" s="54">
        <f t="shared" si="103"/>
        <v>20000</v>
      </c>
      <c r="K214" s="128" t="s">
        <v>177</v>
      </c>
      <c r="L214" s="54">
        <f>ROUND(I214,0)</f>
        <v>70000</v>
      </c>
      <c r="M214" s="54">
        <f t="shared" si="104"/>
        <v>0</v>
      </c>
      <c r="N214" s="128"/>
    </row>
    <row r="215" spans="2:14" s="118" customFormat="1" ht="18.75" customHeight="1" x14ac:dyDescent="0.25">
      <c r="B215" s="1">
        <v>1017</v>
      </c>
      <c r="C215" s="125" t="s">
        <v>511</v>
      </c>
      <c r="D215" s="126" t="s">
        <v>179</v>
      </c>
      <c r="E215" s="66">
        <v>698343.79</v>
      </c>
      <c r="F215" s="66">
        <f t="shared" si="114"/>
        <v>698344</v>
      </c>
      <c r="G215" s="54">
        <f t="shared" si="102"/>
        <v>0.2099999999627471</v>
      </c>
      <c r="H215" s="128"/>
      <c r="I215" s="54">
        <f t="shared" si="115"/>
        <v>698344</v>
      </c>
      <c r="J215" s="54">
        <f t="shared" si="103"/>
        <v>0</v>
      </c>
      <c r="K215" s="128"/>
      <c r="L215" s="54">
        <f t="shared" ref="L215:L217" si="117">ROUND(I215,0)</f>
        <v>698344</v>
      </c>
      <c r="M215" s="54">
        <f t="shared" si="104"/>
        <v>0</v>
      </c>
      <c r="N215" s="128"/>
    </row>
    <row r="216" spans="2:14" ht="40.9" customHeight="1" x14ac:dyDescent="0.25">
      <c r="B216" s="1" t="s">
        <v>512</v>
      </c>
      <c r="C216" s="125" t="s">
        <v>513</v>
      </c>
      <c r="D216" s="126" t="s">
        <v>514</v>
      </c>
      <c r="E216" s="32">
        <v>23597</v>
      </c>
      <c r="F216" s="32">
        <f>ROUND(E216,0)</f>
        <v>23597</v>
      </c>
      <c r="G216" s="31">
        <f>F216-E216</f>
        <v>0</v>
      </c>
      <c r="H216" s="141"/>
      <c r="I216" s="31">
        <f t="shared" si="115"/>
        <v>23597</v>
      </c>
      <c r="J216" s="31">
        <f t="shared" si="103"/>
        <v>0</v>
      </c>
      <c r="K216" s="141"/>
      <c r="L216" s="31">
        <f t="shared" si="117"/>
        <v>23597</v>
      </c>
      <c r="M216" s="31">
        <f t="shared" si="104"/>
        <v>0</v>
      </c>
      <c r="N216" s="141"/>
    </row>
    <row r="217" spans="2:14" ht="44.45" customHeight="1" x14ac:dyDescent="0.25">
      <c r="B217" s="1" t="s">
        <v>515</v>
      </c>
      <c r="C217" s="125" t="s">
        <v>516</v>
      </c>
      <c r="D217" s="126" t="s">
        <v>517</v>
      </c>
      <c r="E217" s="32">
        <v>18440</v>
      </c>
      <c r="F217" s="32">
        <f>ROUND(E217,0)</f>
        <v>18440</v>
      </c>
      <c r="G217" s="31">
        <f>F217-E217</f>
        <v>0</v>
      </c>
      <c r="H217" s="141"/>
      <c r="I217" s="31">
        <f t="shared" si="115"/>
        <v>18440</v>
      </c>
      <c r="J217" s="31">
        <f t="shared" si="103"/>
        <v>0</v>
      </c>
      <c r="K217" s="141"/>
      <c r="L217" s="31">
        <f t="shared" si="117"/>
        <v>18440</v>
      </c>
      <c r="M217" s="31">
        <f t="shared" si="104"/>
        <v>0</v>
      </c>
      <c r="N217" s="141"/>
    </row>
    <row r="218" spans="2:14" x14ac:dyDescent="0.25">
      <c r="C218" s="129" t="s">
        <v>119</v>
      </c>
      <c r="D218" s="130" t="s">
        <v>518</v>
      </c>
      <c r="E218" s="38">
        <v>21517854.165859237</v>
      </c>
      <c r="F218" s="38">
        <f>F219+F220+F223+F226+F230+F234+F238+F246+F247+F258+F261+F264+F265+F266+F267+F268+F269</f>
        <v>21576210</v>
      </c>
      <c r="G218" s="37">
        <f>G219+G220+G223+G226+G230+G234+G238+G247+G258+G261+G264+G265+G266+G267+G268+G269</f>
        <v>58356.224140764331</v>
      </c>
      <c r="H218" s="37"/>
      <c r="I218" s="37">
        <f>I219+I220+I223+I226+I230+I234+I238+I246+I247+I258+I261+I264+I265+I266+I267+I268+I269</f>
        <v>21675003</v>
      </c>
      <c r="J218" s="37">
        <f t="shared" si="103"/>
        <v>98793</v>
      </c>
      <c r="K218" s="37"/>
      <c r="L218" s="37">
        <f>L219+L220+L223+L226+L230+L234+L238+L246+L247+L258+L261+L264+L265+L266+L267+L268+L269</f>
        <v>21738469</v>
      </c>
      <c r="M218" s="37">
        <f t="shared" si="104"/>
        <v>63466</v>
      </c>
      <c r="N218" s="37"/>
    </row>
    <row r="219" spans="2:14" ht="27.6" customHeight="1" x14ac:dyDescent="0.25">
      <c r="B219" s="173" t="s">
        <v>519</v>
      </c>
      <c r="C219" s="125" t="s">
        <v>520</v>
      </c>
      <c r="D219" s="135" t="s">
        <v>521</v>
      </c>
      <c r="E219" s="66">
        <v>1009440</v>
      </c>
      <c r="F219" s="66">
        <f>ROUND(E219,0)</f>
        <v>1009440</v>
      </c>
      <c r="G219" s="54">
        <f t="shared" si="102"/>
        <v>0</v>
      </c>
      <c r="H219" s="67"/>
      <c r="I219" s="54">
        <f>ROUND(F219,0)</f>
        <v>1009440</v>
      </c>
      <c r="J219" s="54">
        <f t="shared" si="103"/>
        <v>0</v>
      </c>
      <c r="K219" s="67"/>
      <c r="L219" s="54">
        <f>ROUND(I219,0)</f>
        <v>1009440</v>
      </c>
      <c r="M219" s="54">
        <f t="shared" si="104"/>
        <v>0</v>
      </c>
      <c r="N219" s="67"/>
    </row>
    <row r="220" spans="2:14" ht="18" customHeight="1" x14ac:dyDescent="0.25">
      <c r="C220" s="125" t="s">
        <v>522</v>
      </c>
      <c r="D220" s="135" t="s">
        <v>523</v>
      </c>
      <c r="E220" s="66">
        <v>1943919.3519472245</v>
      </c>
      <c r="F220" s="66">
        <f t="shared" ref="F220" si="118">SUM(F221:F222)</f>
        <v>1943919</v>
      </c>
      <c r="G220" s="54">
        <f t="shared" si="102"/>
        <v>-0.35194722446613014</v>
      </c>
      <c r="H220" s="128"/>
      <c r="I220" s="54">
        <f t="shared" ref="I220" si="119">SUM(I221:I222)</f>
        <v>1956009</v>
      </c>
      <c r="J220" s="54">
        <f t="shared" si="103"/>
        <v>12090</v>
      </c>
      <c r="K220" s="128"/>
      <c r="L220" s="54">
        <f t="shared" ref="L220" si="120">SUM(L221:L222)</f>
        <v>1960502</v>
      </c>
      <c r="M220" s="54">
        <f t="shared" si="104"/>
        <v>4493</v>
      </c>
      <c r="N220" s="128"/>
    </row>
    <row r="221" spans="2:14" ht="16.149999999999999" customHeight="1" x14ac:dyDescent="0.25">
      <c r="B221" s="64" t="s">
        <v>524</v>
      </c>
      <c r="C221" s="133" t="s">
        <v>525</v>
      </c>
      <c r="D221" s="103" t="s">
        <v>526</v>
      </c>
      <c r="E221" s="175">
        <v>273761</v>
      </c>
      <c r="F221" s="175">
        <f>ROUND(E221,0)</f>
        <v>273761</v>
      </c>
      <c r="G221" s="174">
        <f t="shared" si="102"/>
        <v>0</v>
      </c>
      <c r="H221" s="49"/>
      <c r="I221" s="174">
        <f>ROUND(F221,0)</f>
        <v>273761</v>
      </c>
      <c r="J221" s="174">
        <f t="shared" si="103"/>
        <v>0</v>
      </c>
      <c r="K221" s="49"/>
      <c r="L221" s="174">
        <f>ROUND(I221,0)+4493</f>
        <v>278254</v>
      </c>
      <c r="M221" s="174">
        <f t="shared" si="104"/>
        <v>4493</v>
      </c>
      <c r="N221" s="49" t="s">
        <v>141</v>
      </c>
    </row>
    <row r="222" spans="2:14" ht="15" customHeight="1" x14ac:dyDescent="0.25">
      <c r="B222" s="64" t="s">
        <v>527</v>
      </c>
      <c r="C222" s="133" t="s">
        <v>528</v>
      </c>
      <c r="D222" s="103" t="s">
        <v>529</v>
      </c>
      <c r="E222" s="175">
        <v>1670158.3519472245</v>
      </c>
      <c r="F222" s="175">
        <f>ROUND(E222,0)</f>
        <v>1670158</v>
      </c>
      <c r="G222" s="174">
        <f t="shared" si="102"/>
        <v>-0.35194722446613014</v>
      </c>
      <c r="H222" s="177"/>
      <c r="I222" s="174">
        <f>ROUND(F222,0)-7910+20000</f>
        <v>1682248</v>
      </c>
      <c r="J222" s="176">
        <f t="shared" si="103"/>
        <v>12090</v>
      </c>
      <c r="K222" s="50" t="s">
        <v>530</v>
      </c>
      <c r="L222" s="174">
        <f>ROUND(I222,0)</f>
        <v>1682248</v>
      </c>
      <c r="M222" s="174">
        <f t="shared" si="104"/>
        <v>0</v>
      </c>
      <c r="N222" s="49"/>
    </row>
    <row r="223" spans="2:14" ht="18" customHeight="1" x14ac:dyDescent="0.25">
      <c r="C223" s="125" t="s">
        <v>531</v>
      </c>
      <c r="D223" s="135" t="s">
        <v>532</v>
      </c>
      <c r="E223" s="66">
        <v>1237573.6494368</v>
      </c>
      <c r="F223" s="66">
        <f>F224+F225</f>
        <v>1237574</v>
      </c>
      <c r="G223" s="54">
        <f t="shared" si="102"/>
        <v>0.35056319995783269</v>
      </c>
      <c r="H223" s="128"/>
      <c r="I223" s="54">
        <f>I224+I225</f>
        <v>1230777</v>
      </c>
      <c r="J223" s="54">
        <f t="shared" si="103"/>
        <v>-6797</v>
      </c>
      <c r="K223" s="128"/>
      <c r="L223" s="54">
        <f>L224+L225</f>
        <v>1232647</v>
      </c>
      <c r="M223" s="54">
        <f t="shared" si="104"/>
        <v>1870</v>
      </c>
      <c r="N223" s="128"/>
    </row>
    <row r="224" spans="2:14" ht="16.5" customHeight="1" x14ac:dyDescent="0.25">
      <c r="B224" s="64" t="s">
        <v>533</v>
      </c>
      <c r="C224" s="133" t="s">
        <v>534</v>
      </c>
      <c r="D224" s="103" t="s">
        <v>526</v>
      </c>
      <c r="E224" s="32">
        <v>113943</v>
      </c>
      <c r="F224" s="32">
        <f>ROUND(E224,0)</f>
        <v>113943</v>
      </c>
      <c r="G224" s="31">
        <f t="shared" si="102"/>
        <v>0</v>
      </c>
      <c r="H224" s="49"/>
      <c r="I224" s="31">
        <f>ROUND(F224,0)</f>
        <v>113943</v>
      </c>
      <c r="J224" s="31">
        <f t="shared" si="103"/>
        <v>0</v>
      </c>
      <c r="K224" s="49"/>
      <c r="L224" s="31">
        <f>ROUND(I224,0)+1870</f>
        <v>115813</v>
      </c>
      <c r="M224" s="31">
        <f t="shared" si="104"/>
        <v>1870</v>
      </c>
      <c r="N224" s="49" t="s">
        <v>141</v>
      </c>
    </row>
    <row r="225" spans="2:14" ht="13.15" customHeight="1" x14ac:dyDescent="0.25">
      <c r="B225" s="64" t="s">
        <v>535</v>
      </c>
      <c r="C225" s="133" t="s">
        <v>536</v>
      </c>
      <c r="D225" s="103" t="s">
        <v>529</v>
      </c>
      <c r="E225" s="32">
        <v>1123630.6494368</v>
      </c>
      <c r="F225" s="32">
        <f>ROUND(E225,0)</f>
        <v>1123631</v>
      </c>
      <c r="G225" s="31">
        <f t="shared" si="102"/>
        <v>0.35056319995783269</v>
      </c>
      <c r="H225" s="49"/>
      <c r="I225" s="31">
        <f>ROUND(F225,0)-6797</f>
        <v>1116834</v>
      </c>
      <c r="J225" s="34">
        <f t="shared" si="103"/>
        <v>-6797</v>
      </c>
      <c r="K225" s="50" t="s">
        <v>328</v>
      </c>
      <c r="L225" s="31">
        <f>ROUND(I225,0)</f>
        <v>1116834</v>
      </c>
      <c r="M225" s="31">
        <f t="shared" si="104"/>
        <v>0</v>
      </c>
      <c r="N225" s="49"/>
    </row>
    <row r="226" spans="2:14" ht="18" customHeight="1" x14ac:dyDescent="0.25">
      <c r="C226" s="178" t="s">
        <v>537</v>
      </c>
      <c r="D226" s="135" t="s">
        <v>538</v>
      </c>
      <c r="E226" s="66">
        <v>1320896.3067867202</v>
      </c>
      <c r="F226" s="66">
        <f>F227+F228+F229</f>
        <v>1320896</v>
      </c>
      <c r="G226" s="54">
        <f t="shared" si="102"/>
        <v>-0.30678672017529607</v>
      </c>
      <c r="H226" s="128"/>
      <c r="I226" s="54">
        <f>I227+I228+I229</f>
        <v>1320896</v>
      </c>
      <c r="J226" s="54">
        <f t="shared" si="103"/>
        <v>0</v>
      </c>
      <c r="K226" s="128"/>
      <c r="L226" s="54">
        <f>L227+L228+L229</f>
        <v>1323864</v>
      </c>
      <c r="M226" s="54">
        <f t="shared" si="104"/>
        <v>2968</v>
      </c>
      <c r="N226" s="128"/>
    </row>
    <row r="227" spans="2:14" ht="13.5" customHeight="1" x14ac:dyDescent="0.25">
      <c r="B227" s="1" t="s">
        <v>539</v>
      </c>
      <c r="C227" s="133" t="s">
        <v>540</v>
      </c>
      <c r="D227" s="103" t="s">
        <v>526</v>
      </c>
      <c r="E227" s="32">
        <v>192011</v>
      </c>
      <c r="F227" s="32">
        <f>ROUND(E227,0)</f>
        <v>192011</v>
      </c>
      <c r="G227" s="31">
        <f t="shared" si="102"/>
        <v>0</v>
      </c>
      <c r="H227" s="49"/>
      <c r="I227" s="31">
        <f>ROUND(F227,0)</f>
        <v>192011</v>
      </c>
      <c r="J227" s="31">
        <f t="shared" si="103"/>
        <v>0</v>
      </c>
      <c r="K227" s="49"/>
      <c r="L227" s="31">
        <f>ROUND(I227,0)+2968</f>
        <v>194979</v>
      </c>
      <c r="M227" s="31">
        <f t="shared" si="104"/>
        <v>2968</v>
      </c>
      <c r="N227" s="49" t="s">
        <v>141</v>
      </c>
    </row>
    <row r="228" spans="2:14" ht="17.45" customHeight="1" x14ac:dyDescent="0.25">
      <c r="B228" s="1" t="s">
        <v>541</v>
      </c>
      <c r="C228" s="133" t="s">
        <v>542</v>
      </c>
      <c r="D228" s="103" t="s">
        <v>529</v>
      </c>
      <c r="E228" s="32">
        <v>968536.30678672018</v>
      </c>
      <c r="F228" s="32">
        <f>ROUND(E228,0)</f>
        <v>968536</v>
      </c>
      <c r="G228" s="31">
        <f t="shared" si="102"/>
        <v>-0.30678672017529607</v>
      </c>
      <c r="H228" s="49"/>
      <c r="I228" s="31">
        <f>ROUND(F228,0)</f>
        <v>968536</v>
      </c>
      <c r="J228" s="31">
        <f t="shared" si="103"/>
        <v>0</v>
      </c>
      <c r="K228" s="49"/>
      <c r="L228" s="31">
        <f>ROUND(I228,0)</f>
        <v>968536</v>
      </c>
      <c r="M228" s="31">
        <f t="shared" si="104"/>
        <v>0</v>
      </c>
      <c r="N228" s="49"/>
    </row>
    <row r="229" spans="2:14" ht="17.45" customHeight="1" x14ac:dyDescent="0.25">
      <c r="C229" s="133" t="s">
        <v>543</v>
      </c>
      <c r="D229" s="103" t="s">
        <v>544</v>
      </c>
      <c r="E229" s="32">
        <v>160349</v>
      </c>
      <c r="F229" s="32">
        <f>ROUND(E229,0)</f>
        <v>160349</v>
      </c>
      <c r="G229" s="31">
        <f>F229-E229</f>
        <v>0</v>
      </c>
      <c r="H229" s="49"/>
      <c r="I229" s="31">
        <f>ROUND(F229,0)</f>
        <v>160349</v>
      </c>
      <c r="J229" s="31">
        <f t="shared" si="103"/>
        <v>0</v>
      </c>
      <c r="K229" s="49"/>
      <c r="L229" s="31">
        <f>ROUND(I229,0)</f>
        <v>160349</v>
      </c>
      <c r="M229" s="31">
        <f t="shared" si="104"/>
        <v>0</v>
      </c>
      <c r="N229" s="49"/>
    </row>
    <row r="230" spans="2:14" x14ac:dyDescent="0.25">
      <c r="B230" s="1" t="s">
        <v>545</v>
      </c>
      <c r="C230" s="178" t="s">
        <v>546</v>
      </c>
      <c r="D230" s="135" t="s">
        <v>547</v>
      </c>
      <c r="E230" s="66">
        <v>1231648.2936508402</v>
      </c>
      <c r="F230" s="66">
        <f t="shared" ref="F230" si="121">SUM(F231:F233)</f>
        <v>1231648</v>
      </c>
      <c r="G230" s="54">
        <f t="shared" si="102"/>
        <v>-0.29365084017626941</v>
      </c>
      <c r="H230" s="128"/>
      <c r="I230" s="54">
        <f t="shared" ref="I230" si="122">SUM(I231:I233)</f>
        <v>1233648</v>
      </c>
      <c r="J230" s="54">
        <f t="shared" si="103"/>
        <v>2000</v>
      </c>
      <c r="K230" s="128"/>
      <c r="L230" s="54">
        <f t="shared" ref="L230" si="123">SUM(L231:L233)</f>
        <v>1234807</v>
      </c>
      <c r="M230" s="54">
        <f t="shared" si="104"/>
        <v>1159</v>
      </c>
      <c r="N230" s="128"/>
    </row>
    <row r="231" spans="2:14" s="180" customFormat="1" ht="17.25" customHeight="1" x14ac:dyDescent="0.25">
      <c r="B231" s="179" t="s">
        <v>548</v>
      </c>
      <c r="C231" s="133" t="s">
        <v>549</v>
      </c>
      <c r="D231" s="103" t="s">
        <v>526</v>
      </c>
      <c r="E231" s="32">
        <v>71133</v>
      </c>
      <c r="F231" s="32">
        <f>ROUND(E231,0)</f>
        <v>71133</v>
      </c>
      <c r="G231" s="174">
        <f t="shared" si="102"/>
        <v>0</v>
      </c>
      <c r="H231" s="33"/>
      <c r="I231" s="31">
        <f>ROUND(F231,0)</f>
        <v>71133</v>
      </c>
      <c r="J231" s="174">
        <f t="shared" si="103"/>
        <v>0</v>
      </c>
      <c r="K231" s="33"/>
      <c r="L231" s="31">
        <f>ROUND(I231,0)+1159</f>
        <v>72292</v>
      </c>
      <c r="M231" s="174">
        <f t="shared" si="104"/>
        <v>1159</v>
      </c>
      <c r="N231" s="33" t="s">
        <v>141</v>
      </c>
    </row>
    <row r="232" spans="2:14" s="180" customFormat="1" ht="15.6" customHeight="1" x14ac:dyDescent="0.25">
      <c r="C232" s="133" t="s">
        <v>550</v>
      </c>
      <c r="D232" s="103" t="s">
        <v>529</v>
      </c>
      <c r="E232" s="32">
        <v>1001768.2936508402</v>
      </c>
      <c r="F232" s="32">
        <f>ROUND(E232,0)</f>
        <v>1001768</v>
      </c>
      <c r="G232" s="174">
        <f t="shared" si="102"/>
        <v>-0.29365084017626941</v>
      </c>
      <c r="H232" s="49"/>
      <c r="I232" s="31">
        <f>ROUND(F232,0)+2000</f>
        <v>1003768</v>
      </c>
      <c r="J232" s="174">
        <f t="shared" si="103"/>
        <v>2000</v>
      </c>
      <c r="K232" s="33" t="s">
        <v>551</v>
      </c>
      <c r="L232" s="31">
        <f>ROUND(I232,0)</f>
        <v>1003768</v>
      </c>
      <c r="M232" s="174">
        <f t="shared" si="104"/>
        <v>0</v>
      </c>
      <c r="N232" s="33"/>
    </row>
    <row r="233" spans="2:14" s="180" customFormat="1" ht="13.9" customHeight="1" x14ac:dyDescent="0.25">
      <c r="C233" s="133" t="s">
        <v>552</v>
      </c>
      <c r="D233" s="103" t="s">
        <v>544</v>
      </c>
      <c r="E233" s="32">
        <v>158747</v>
      </c>
      <c r="F233" s="32">
        <f>ROUND(E233,0)</f>
        <v>158747</v>
      </c>
      <c r="G233" s="174">
        <f>F233-E233</f>
        <v>0</v>
      </c>
      <c r="H233" s="49"/>
      <c r="I233" s="31">
        <f>ROUND(F233,0)</f>
        <v>158747</v>
      </c>
      <c r="J233" s="174">
        <f t="shared" si="103"/>
        <v>0</v>
      </c>
      <c r="K233" s="49"/>
      <c r="L233" s="31">
        <f>ROUND(I233,0)</f>
        <v>158747</v>
      </c>
      <c r="M233" s="174">
        <f t="shared" si="104"/>
        <v>0</v>
      </c>
      <c r="N233" s="49"/>
    </row>
    <row r="234" spans="2:14" x14ac:dyDescent="0.25">
      <c r="C234" s="178" t="s">
        <v>553</v>
      </c>
      <c r="D234" s="135" t="s">
        <v>554</v>
      </c>
      <c r="E234" s="66">
        <v>2137999</v>
      </c>
      <c r="F234" s="66">
        <f>F235+F236+F237</f>
        <v>2137999</v>
      </c>
      <c r="G234" s="54">
        <f t="shared" si="102"/>
        <v>0</v>
      </c>
      <c r="H234" s="128"/>
      <c r="I234" s="54">
        <f>I235+I236+I237</f>
        <v>2137999</v>
      </c>
      <c r="J234" s="54">
        <f t="shared" si="103"/>
        <v>0</v>
      </c>
      <c r="K234" s="128"/>
      <c r="L234" s="54">
        <f>L235+L236+L237</f>
        <v>2137999</v>
      </c>
      <c r="M234" s="54">
        <f t="shared" si="104"/>
        <v>0</v>
      </c>
      <c r="N234" s="128"/>
    </row>
    <row r="235" spans="2:14" s="180" customFormat="1" x14ac:dyDescent="0.25">
      <c r="B235" s="179" t="s">
        <v>555</v>
      </c>
      <c r="C235" s="181" t="s">
        <v>556</v>
      </c>
      <c r="D235" s="182" t="s">
        <v>557</v>
      </c>
      <c r="E235" s="32">
        <v>625207</v>
      </c>
      <c r="F235" s="32">
        <f>ROUND(E235,0)</f>
        <v>625207</v>
      </c>
      <c r="G235" s="174">
        <f t="shared" si="102"/>
        <v>0</v>
      </c>
      <c r="H235" s="33"/>
      <c r="I235" s="31">
        <f>ROUND(F235,0)</f>
        <v>625207</v>
      </c>
      <c r="J235" s="174">
        <f t="shared" si="103"/>
        <v>0</v>
      </c>
      <c r="K235" s="33"/>
      <c r="L235" s="31">
        <f>ROUND(I235,0)</f>
        <v>625207</v>
      </c>
      <c r="M235" s="174">
        <f t="shared" si="104"/>
        <v>0</v>
      </c>
      <c r="N235" s="33"/>
    </row>
    <row r="236" spans="2:14" s="180" customFormat="1" ht="16.149999999999999" customHeight="1" x14ac:dyDescent="0.25">
      <c r="B236" s="179" t="s">
        <v>558</v>
      </c>
      <c r="C236" s="181" t="s">
        <v>559</v>
      </c>
      <c r="D236" s="182" t="s">
        <v>560</v>
      </c>
      <c r="E236" s="32">
        <v>135000</v>
      </c>
      <c r="F236" s="32">
        <f>ROUND(E236,0)</f>
        <v>135000</v>
      </c>
      <c r="G236" s="174">
        <f t="shared" si="102"/>
        <v>0</v>
      </c>
      <c r="H236" s="33"/>
      <c r="I236" s="31">
        <f>ROUND(F236,0)</f>
        <v>135000</v>
      </c>
      <c r="J236" s="174">
        <f t="shared" si="103"/>
        <v>0</v>
      </c>
      <c r="K236" s="33"/>
      <c r="L236" s="31">
        <f>ROUND(I236,0)</f>
        <v>135000</v>
      </c>
      <c r="M236" s="174">
        <f t="shared" si="104"/>
        <v>0</v>
      </c>
      <c r="N236" s="33"/>
    </row>
    <row r="237" spans="2:14" x14ac:dyDescent="0.25">
      <c r="B237" s="64" t="s">
        <v>558</v>
      </c>
      <c r="C237" s="133" t="s">
        <v>561</v>
      </c>
      <c r="D237" s="103" t="s">
        <v>562</v>
      </c>
      <c r="E237" s="32">
        <v>1377792</v>
      </c>
      <c r="F237" s="32">
        <f>ROUND(E237,0)</f>
        <v>1377792</v>
      </c>
      <c r="G237" s="174">
        <f t="shared" si="102"/>
        <v>0</v>
      </c>
      <c r="H237" s="33"/>
      <c r="I237" s="31">
        <f>ROUND(F237,0)</f>
        <v>1377792</v>
      </c>
      <c r="J237" s="174">
        <f t="shared" si="103"/>
        <v>0</v>
      </c>
      <c r="K237" s="33"/>
      <c r="L237" s="31">
        <f>ROUND(I237,0)</f>
        <v>1377792</v>
      </c>
      <c r="M237" s="174">
        <f t="shared" si="104"/>
        <v>0</v>
      </c>
      <c r="N237" s="33"/>
    </row>
    <row r="238" spans="2:14" s="118" customFormat="1" ht="15.75" customHeight="1" x14ac:dyDescent="0.2">
      <c r="C238" s="178" t="s">
        <v>563</v>
      </c>
      <c r="D238" s="135" t="s">
        <v>564</v>
      </c>
      <c r="E238" s="137">
        <v>1977338.5930570001</v>
      </c>
      <c r="F238" s="137">
        <f t="shared" ref="F238" si="124">F239+F240+F241+F242+F243+F244+F245</f>
        <v>1974553</v>
      </c>
      <c r="G238" s="136">
        <f t="shared" si="102"/>
        <v>-2785.5930570000783</v>
      </c>
      <c r="H238" s="148"/>
      <c r="I238" s="136">
        <f t="shared" ref="I238" si="125">I239+I240+I241+I242+I243+I244+I245</f>
        <v>1979553</v>
      </c>
      <c r="J238" s="136">
        <f t="shared" si="103"/>
        <v>5000</v>
      </c>
      <c r="K238" s="148"/>
      <c r="L238" s="136">
        <f t="shared" ref="L238" si="126">L239+L240+L241+L242+L243+L244+L245</f>
        <v>1990205</v>
      </c>
      <c r="M238" s="136">
        <f t="shared" si="104"/>
        <v>10652</v>
      </c>
      <c r="N238" s="148"/>
    </row>
    <row r="239" spans="2:14" s="28" customFormat="1" ht="17.25" customHeight="1" x14ac:dyDescent="0.25">
      <c r="B239" s="46" t="s">
        <v>565</v>
      </c>
      <c r="C239" s="133" t="s">
        <v>566</v>
      </c>
      <c r="D239" s="103" t="s">
        <v>526</v>
      </c>
      <c r="E239" s="32">
        <v>926167</v>
      </c>
      <c r="F239" s="32">
        <f>ROUND(E239,0)</f>
        <v>926167</v>
      </c>
      <c r="G239" s="31">
        <f t="shared" si="102"/>
        <v>0</v>
      </c>
      <c r="H239" s="49"/>
      <c r="I239" s="31">
        <f>ROUND(F239,0)</f>
        <v>926167</v>
      </c>
      <c r="J239" s="31">
        <f t="shared" si="103"/>
        <v>0</v>
      </c>
      <c r="K239" s="49"/>
      <c r="L239" s="31">
        <f>ROUND(I239,0)+10652</f>
        <v>936819</v>
      </c>
      <c r="M239" s="31">
        <f t="shared" si="104"/>
        <v>10652</v>
      </c>
      <c r="N239" s="49" t="s">
        <v>141</v>
      </c>
    </row>
    <row r="240" spans="2:14" s="28" customFormat="1" x14ac:dyDescent="0.25">
      <c r="B240" s="28" t="s">
        <v>565</v>
      </c>
      <c r="C240" s="133" t="s">
        <v>567</v>
      </c>
      <c r="D240" s="103" t="s">
        <v>568</v>
      </c>
      <c r="E240" s="32">
        <v>74869</v>
      </c>
      <c r="F240" s="32">
        <f>ROUND(E240,0)</f>
        <v>74869</v>
      </c>
      <c r="G240" s="31">
        <f t="shared" si="102"/>
        <v>0</v>
      </c>
      <c r="H240" s="49"/>
      <c r="I240" s="31">
        <f>ROUND(F240,0)</f>
        <v>74869</v>
      </c>
      <c r="J240" s="31">
        <f t="shared" si="103"/>
        <v>0</v>
      </c>
      <c r="K240" s="49"/>
      <c r="L240" s="31">
        <f t="shared" ref="L240:L246" si="127">ROUND(I240,0)</f>
        <v>74869</v>
      </c>
      <c r="M240" s="31">
        <f t="shared" si="104"/>
        <v>0</v>
      </c>
      <c r="N240" s="49"/>
    </row>
    <row r="241" spans="2:14" s="28" customFormat="1" ht="17.25" customHeight="1" x14ac:dyDescent="0.25">
      <c r="B241" s="46" t="s">
        <v>569</v>
      </c>
      <c r="C241" s="133" t="s">
        <v>570</v>
      </c>
      <c r="D241" s="103" t="s">
        <v>529</v>
      </c>
      <c r="E241" s="32">
        <v>682154.59305699996</v>
      </c>
      <c r="F241" s="32">
        <f t="shared" ref="F241:F246" si="128">ROUND(E241,0)</f>
        <v>682155</v>
      </c>
      <c r="G241" s="31">
        <f t="shared" si="102"/>
        <v>0.40694300003815442</v>
      </c>
      <c r="H241" s="49"/>
      <c r="I241" s="31">
        <f>ROUND(F241,0)</f>
        <v>682155</v>
      </c>
      <c r="J241" s="31">
        <f t="shared" si="103"/>
        <v>0</v>
      </c>
      <c r="K241" s="49"/>
      <c r="L241" s="31">
        <f t="shared" si="127"/>
        <v>682155</v>
      </c>
      <c r="M241" s="31">
        <f t="shared" si="104"/>
        <v>0</v>
      </c>
      <c r="N241" s="49"/>
    </row>
    <row r="242" spans="2:14" s="28" customFormat="1" ht="17.25" customHeight="1" x14ac:dyDescent="0.25">
      <c r="B242" s="46"/>
      <c r="C242" s="133" t="s">
        <v>571</v>
      </c>
      <c r="D242" s="103" t="s">
        <v>544</v>
      </c>
      <c r="E242" s="32">
        <v>241081</v>
      </c>
      <c r="F242" s="32">
        <f t="shared" si="128"/>
        <v>241081</v>
      </c>
      <c r="G242" s="31">
        <f t="shared" si="102"/>
        <v>0</v>
      </c>
      <c r="H242" s="49"/>
      <c r="I242" s="31">
        <f>ROUND(F242,0)</f>
        <v>241081</v>
      </c>
      <c r="J242" s="31">
        <f t="shared" si="103"/>
        <v>0</v>
      </c>
      <c r="K242" s="49"/>
      <c r="L242" s="31">
        <f t="shared" si="127"/>
        <v>241081</v>
      </c>
      <c r="M242" s="31">
        <f t="shared" si="104"/>
        <v>0</v>
      </c>
      <c r="N242" s="49"/>
    </row>
    <row r="243" spans="2:14" s="28" customFormat="1" ht="16.899999999999999" customHeight="1" x14ac:dyDescent="0.25">
      <c r="B243" s="46" t="s">
        <v>572</v>
      </c>
      <c r="C243" s="133" t="s">
        <v>573</v>
      </c>
      <c r="D243" s="103" t="s">
        <v>574</v>
      </c>
      <c r="E243" s="32">
        <v>6454</v>
      </c>
      <c r="F243" s="32">
        <f>ROUND(E243,0)-2786</f>
        <v>3668</v>
      </c>
      <c r="G243" s="31">
        <f t="shared" si="102"/>
        <v>-2786</v>
      </c>
      <c r="H243" s="33" t="s">
        <v>161</v>
      </c>
      <c r="I243" s="31">
        <f>ROUND(F243,0)</f>
        <v>3668</v>
      </c>
      <c r="J243" s="31">
        <f t="shared" si="103"/>
        <v>0</v>
      </c>
      <c r="K243" s="33"/>
      <c r="L243" s="31">
        <f t="shared" si="127"/>
        <v>3668</v>
      </c>
      <c r="M243" s="31">
        <f t="shared" si="104"/>
        <v>0</v>
      </c>
      <c r="N243" s="33"/>
    </row>
    <row r="244" spans="2:14" s="118" customFormat="1" ht="13.9" customHeight="1" x14ac:dyDescent="0.25">
      <c r="B244" s="64" t="s">
        <v>575</v>
      </c>
      <c r="C244" s="133" t="s">
        <v>576</v>
      </c>
      <c r="D244" s="103" t="s">
        <v>577</v>
      </c>
      <c r="E244" s="32">
        <v>46613</v>
      </c>
      <c r="F244" s="32">
        <f t="shared" si="128"/>
        <v>46613</v>
      </c>
      <c r="G244" s="31">
        <f t="shared" si="102"/>
        <v>0</v>
      </c>
      <c r="H244" s="33"/>
      <c r="I244" s="31">
        <f>ROUND(F244,0)+5000</f>
        <v>51613</v>
      </c>
      <c r="J244" s="31">
        <f t="shared" si="103"/>
        <v>5000</v>
      </c>
      <c r="K244" s="72" t="s">
        <v>226</v>
      </c>
      <c r="L244" s="31">
        <f t="shared" si="127"/>
        <v>51613</v>
      </c>
      <c r="M244" s="31">
        <f t="shared" si="104"/>
        <v>0</v>
      </c>
      <c r="N244" s="72"/>
    </row>
    <row r="245" spans="2:14" s="118" customFormat="1" ht="15" customHeight="1" x14ac:dyDescent="0.25">
      <c r="B245" s="64" t="s">
        <v>578</v>
      </c>
      <c r="C245" s="133" t="s">
        <v>579</v>
      </c>
      <c r="D245" s="103" t="s">
        <v>580</v>
      </c>
      <c r="E245" s="32">
        <v>0</v>
      </c>
      <c r="F245" s="32">
        <f t="shared" si="128"/>
        <v>0</v>
      </c>
      <c r="G245" s="31">
        <f t="shared" si="102"/>
        <v>0</v>
      </c>
      <c r="H245" s="33"/>
      <c r="I245" s="31">
        <f>ROUND(F245,0)</f>
        <v>0</v>
      </c>
      <c r="J245" s="31">
        <f t="shared" si="103"/>
        <v>0</v>
      </c>
      <c r="K245" s="33"/>
      <c r="L245" s="31">
        <f t="shared" si="127"/>
        <v>0</v>
      </c>
      <c r="M245" s="31">
        <f t="shared" si="104"/>
        <v>0</v>
      </c>
      <c r="N245" s="33"/>
    </row>
    <row r="246" spans="2:14" s="28" customFormat="1" ht="21" customHeight="1" x14ac:dyDescent="0.25">
      <c r="B246" s="64" t="s">
        <v>581</v>
      </c>
      <c r="C246" s="178" t="s">
        <v>582</v>
      </c>
      <c r="D246" s="135" t="s">
        <v>307</v>
      </c>
      <c r="E246" s="137">
        <v>836633.39</v>
      </c>
      <c r="F246" s="137">
        <f t="shared" si="128"/>
        <v>836633</v>
      </c>
      <c r="G246" s="136">
        <f>F246-E246</f>
        <v>-0.39000000001396984</v>
      </c>
      <c r="H246" s="67"/>
      <c r="I246" s="136">
        <f>ROUND(F246,0)</f>
        <v>836633</v>
      </c>
      <c r="J246" s="136">
        <f t="shared" si="103"/>
        <v>0</v>
      </c>
      <c r="K246" s="67"/>
      <c r="L246" s="136">
        <f t="shared" si="127"/>
        <v>836633</v>
      </c>
      <c r="M246" s="136">
        <f t="shared" si="104"/>
        <v>0</v>
      </c>
      <c r="N246" s="67"/>
    </row>
    <row r="247" spans="2:14" s="28" customFormat="1" ht="15.75" customHeight="1" x14ac:dyDescent="0.25">
      <c r="B247" s="46"/>
      <c r="C247" s="178" t="s">
        <v>583</v>
      </c>
      <c r="D247" s="135" t="s">
        <v>584</v>
      </c>
      <c r="E247" s="137">
        <v>7240446.2743386505</v>
      </c>
      <c r="F247" s="137">
        <f>F248+F249+F250+F251+F252+F253+F254+F255</f>
        <v>7249299</v>
      </c>
      <c r="G247" s="136">
        <f t="shared" si="102"/>
        <v>8852.7256613494828</v>
      </c>
      <c r="H247" s="67"/>
      <c r="I247" s="136">
        <f>I248+I249+I250+I251+I252+I253+I254+I255</f>
        <v>7335799</v>
      </c>
      <c r="J247" s="136">
        <f t="shared" si="103"/>
        <v>86500</v>
      </c>
      <c r="K247" s="67"/>
      <c r="L247" s="136">
        <f>L248+L249+L250+L251+L252+L253+L254+L255</f>
        <v>7378123</v>
      </c>
      <c r="M247" s="136">
        <f t="shared" si="104"/>
        <v>42324</v>
      </c>
      <c r="N247" s="67"/>
    </row>
    <row r="248" spans="2:14" s="28" customFormat="1" ht="17.25" customHeight="1" x14ac:dyDescent="0.25">
      <c r="B248" s="46" t="s">
        <v>585</v>
      </c>
      <c r="C248" s="133" t="s">
        <v>586</v>
      </c>
      <c r="D248" s="103" t="s">
        <v>526</v>
      </c>
      <c r="E248" s="32">
        <v>3750643</v>
      </c>
      <c r="F248" s="32">
        <f>ROUND(E248,0)</f>
        <v>3750643</v>
      </c>
      <c r="G248" s="31">
        <f t="shared" si="102"/>
        <v>0</v>
      </c>
      <c r="H248" s="49"/>
      <c r="I248" s="31">
        <f t="shared" ref="I248:I254" si="129">ROUND(F248,0)</f>
        <v>3750643</v>
      </c>
      <c r="J248" s="31">
        <f t="shared" si="103"/>
        <v>0</v>
      </c>
      <c r="K248" s="49"/>
      <c r="L248" s="31">
        <f>ROUND(I248,0)+41084</f>
        <v>3791727</v>
      </c>
      <c r="M248" s="31">
        <f t="shared" si="104"/>
        <v>41084</v>
      </c>
      <c r="N248" s="49" t="s">
        <v>141</v>
      </c>
    </row>
    <row r="249" spans="2:14" s="28" customFormat="1" ht="18" customHeight="1" x14ac:dyDescent="0.25">
      <c r="B249" s="46" t="s">
        <v>587</v>
      </c>
      <c r="C249" s="133" t="s">
        <v>588</v>
      </c>
      <c r="D249" s="103" t="s">
        <v>529</v>
      </c>
      <c r="E249" s="32">
        <v>1425817.7494320502</v>
      </c>
      <c r="F249" s="32">
        <f>ROUND(E249,0)+10864</f>
        <v>1436682</v>
      </c>
      <c r="G249" s="31">
        <f t="shared" si="102"/>
        <v>10864.250567949843</v>
      </c>
      <c r="H249" s="49" t="s">
        <v>589</v>
      </c>
      <c r="I249" s="31">
        <f>ROUND(F249,0)+43000</f>
        <v>1479682</v>
      </c>
      <c r="J249" s="34">
        <f t="shared" si="103"/>
        <v>43000</v>
      </c>
      <c r="K249" s="50" t="s">
        <v>590</v>
      </c>
      <c r="L249" s="31">
        <f>ROUND(I249,0)</f>
        <v>1479682</v>
      </c>
      <c r="M249" s="31">
        <f t="shared" si="104"/>
        <v>0</v>
      </c>
      <c r="N249" s="49"/>
    </row>
    <row r="250" spans="2:14" s="28" customFormat="1" ht="17.45" customHeight="1" x14ac:dyDescent="0.25">
      <c r="B250" s="28" t="s">
        <v>591</v>
      </c>
      <c r="C250" s="133" t="s">
        <v>592</v>
      </c>
      <c r="D250" s="103" t="s">
        <v>577</v>
      </c>
      <c r="E250" s="32">
        <v>250373</v>
      </c>
      <c r="F250" s="32">
        <f>ROUND(E250,0)</f>
        <v>250373</v>
      </c>
      <c r="G250" s="31">
        <f t="shared" si="102"/>
        <v>0</v>
      </c>
      <c r="H250" s="33"/>
      <c r="I250" s="31">
        <f t="shared" si="129"/>
        <v>250373</v>
      </c>
      <c r="J250" s="31">
        <f t="shared" si="103"/>
        <v>0</v>
      </c>
      <c r="K250" s="33"/>
      <c r="L250" s="31">
        <f t="shared" ref="L250:L251" si="130">ROUND(I250,0)</f>
        <v>250373</v>
      </c>
      <c r="M250" s="31">
        <f t="shared" si="104"/>
        <v>0</v>
      </c>
      <c r="N250" s="33"/>
    </row>
    <row r="251" spans="2:14" s="28" customFormat="1" ht="16.149999999999999" customHeight="1" x14ac:dyDescent="0.25">
      <c r="B251" s="46" t="s">
        <v>593</v>
      </c>
      <c r="C251" s="133" t="s">
        <v>594</v>
      </c>
      <c r="D251" s="103" t="s">
        <v>574</v>
      </c>
      <c r="E251" s="32">
        <v>16158</v>
      </c>
      <c r="F251" s="32">
        <f>ROUND(E251,0)-2011</f>
        <v>14147</v>
      </c>
      <c r="G251" s="31">
        <f t="shared" si="102"/>
        <v>-2011</v>
      </c>
      <c r="H251" s="33" t="s">
        <v>161</v>
      </c>
      <c r="I251" s="31">
        <f t="shared" si="129"/>
        <v>14147</v>
      </c>
      <c r="J251" s="31">
        <f t="shared" si="103"/>
        <v>0</v>
      </c>
      <c r="K251" s="33"/>
      <c r="L251" s="31">
        <f t="shared" si="130"/>
        <v>14147</v>
      </c>
      <c r="M251" s="31">
        <f t="shared" si="104"/>
        <v>0</v>
      </c>
      <c r="N251" s="33"/>
    </row>
    <row r="252" spans="2:14" s="183" customFormat="1" ht="42.6" customHeight="1" x14ac:dyDescent="0.25">
      <c r="B252" s="46" t="s">
        <v>587</v>
      </c>
      <c r="C252" s="133" t="s">
        <v>595</v>
      </c>
      <c r="D252" s="103" t="s">
        <v>309</v>
      </c>
      <c r="E252" s="32">
        <v>390000</v>
      </c>
      <c r="F252" s="32">
        <f>ROUND(E252,0)</f>
        <v>390000</v>
      </c>
      <c r="G252" s="31">
        <f t="shared" si="102"/>
        <v>0</v>
      </c>
      <c r="H252" s="49"/>
      <c r="I252" s="31">
        <f>ROUND(F252,0)+43500</f>
        <v>433500</v>
      </c>
      <c r="J252" s="34">
        <f t="shared" si="103"/>
        <v>43500</v>
      </c>
      <c r="K252" s="50" t="s">
        <v>596</v>
      </c>
      <c r="L252" s="31">
        <f>ROUND(I252,0)</f>
        <v>433500</v>
      </c>
      <c r="M252" s="31">
        <f t="shared" si="104"/>
        <v>0</v>
      </c>
      <c r="N252" s="49"/>
    </row>
    <row r="253" spans="2:14" s="183" customFormat="1" ht="19.149999999999999" customHeight="1" x14ac:dyDescent="0.25">
      <c r="B253" s="184" t="s">
        <v>597</v>
      </c>
      <c r="C253" s="133" t="s">
        <v>598</v>
      </c>
      <c r="D253" s="103" t="s">
        <v>599</v>
      </c>
      <c r="E253" s="32">
        <v>838367.24456400005</v>
      </c>
      <c r="F253" s="32">
        <f>ROUND(E253,0)</f>
        <v>838367</v>
      </c>
      <c r="G253" s="31">
        <f t="shared" si="102"/>
        <v>-0.24456400005146861</v>
      </c>
      <c r="H253" s="49" t="s">
        <v>600</v>
      </c>
      <c r="I253" s="31">
        <f t="shared" si="129"/>
        <v>838367</v>
      </c>
      <c r="J253" s="31">
        <f t="shared" si="103"/>
        <v>0</v>
      </c>
      <c r="K253" s="49"/>
      <c r="L253" s="31">
        <f t="shared" ref="L253:L254" si="131">ROUND(I253,0)</f>
        <v>838367</v>
      </c>
      <c r="M253" s="31">
        <f t="shared" si="104"/>
        <v>0</v>
      </c>
      <c r="N253" s="49"/>
    </row>
    <row r="254" spans="2:14" s="183" customFormat="1" ht="15" customHeight="1" x14ac:dyDescent="0.25">
      <c r="B254" s="46" t="s">
        <v>585</v>
      </c>
      <c r="C254" s="133" t="s">
        <v>601</v>
      </c>
      <c r="D254" s="103" t="s">
        <v>602</v>
      </c>
      <c r="E254" s="32">
        <v>173758</v>
      </c>
      <c r="F254" s="32">
        <f>ROUND(E254,0)</f>
        <v>173758</v>
      </c>
      <c r="G254" s="31">
        <f t="shared" si="102"/>
        <v>0</v>
      </c>
      <c r="H254" s="33"/>
      <c r="I254" s="31">
        <f t="shared" si="129"/>
        <v>173758</v>
      </c>
      <c r="J254" s="31">
        <f t="shared" si="103"/>
        <v>0</v>
      </c>
      <c r="K254" s="33"/>
      <c r="L254" s="31">
        <f t="shared" si="131"/>
        <v>173758</v>
      </c>
      <c r="M254" s="31">
        <f t="shared" si="104"/>
        <v>0</v>
      </c>
      <c r="N254" s="33"/>
    </row>
    <row r="255" spans="2:14" s="189" customFormat="1" ht="13.9" customHeight="1" x14ac:dyDescent="0.25">
      <c r="B255" s="184"/>
      <c r="C255" s="185" t="s">
        <v>603</v>
      </c>
      <c r="D255" s="186" t="s">
        <v>604</v>
      </c>
      <c r="E255" s="188">
        <v>395329.28034260002</v>
      </c>
      <c r="F255" s="188">
        <f t="shared" ref="F255:G255" si="132">F256+F257</f>
        <v>395329</v>
      </c>
      <c r="G255" s="187">
        <f t="shared" si="132"/>
        <v>-0.28034260001732036</v>
      </c>
      <c r="H255" s="187"/>
      <c r="I255" s="187">
        <f t="shared" ref="I255" si="133">I256+I257</f>
        <v>395329</v>
      </c>
      <c r="J255" s="187">
        <f t="shared" si="103"/>
        <v>0</v>
      </c>
      <c r="K255" s="187"/>
      <c r="L255" s="187">
        <f t="shared" ref="L255" si="134">L256+L257</f>
        <v>396569</v>
      </c>
      <c r="M255" s="187">
        <f t="shared" si="104"/>
        <v>1240</v>
      </c>
      <c r="N255" s="187"/>
    </row>
    <row r="256" spans="2:14" s="183" customFormat="1" ht="12" customHeight="1" x14ac:dyDescent="0.25">
      <c r="B256" s="64" t="s">
        <v>605</v>
      </c>
      <c r="C256" s="190" t="s">
        <v>606</v>
      </c>
      <c r="D256" s="103" t="s">
        <v>607</v>
      </c>
      <c r="E256" s="32">
        <v>83788</v>
      </c>
      <c r="F256" s="32">
        <f>ROUND(E256,0)</f>
        <v>83788</v>
      </c>
      <c r="G256" s="31">
        <f t="shared" si="102"/>
        <v>0</v>
      </c>
      <c r="H256" s="49"/>
      <c r="I256" s="31">
        <f>ROUND(F256,0)</f>
        <v>83788</v>
      </c>
      <c r="J256" s="31">
        <f t="shared" si="103"/>
        <v>0</v>
      </c>
      <c r="K256" s="49"/>
      <c r="L256" s="31">
        <f>ROUND(I256,0)+1240</f>
        <v>85028</v>
      </c>
      <c r="M256" s="31">
        <f t="shared" si="104"/>
        <v>1240</v>
      </c>
      <c r="N256" s="49" t="s">
        <v>141</v>
      </c>
    </row>
    <row r="257" spans="2:14" s="118" customFormat="1" ht="12.6" customHeight="1" x14ac:dyDescent="0.25">
      <c r="B257" s="184" t="s">
        <v>608</v>
      </c>
      <c r="C257" s="190" t="s">
        <v>609</v>
      </c>
      <c r="D257" s="103" t="s">
        <v>610</v>
      </c>
      <c r="E257" s="32">
        <v>311541.28034260002</v>
      </c>
      <c r="F257" s="32">
        <f>ROUND(E257,0)</f>
        <v>311541</v>
      </c>
      <c r="G257" s="31">
        <f t="shared" si="102"/>
        <v>-0.28034260001732036</v>
      </c>
      <c r="H257" s="33"/>
      <c r="I257" s="31">
        <f>ROUND(F257,0)</f>
        <v>311541</v>
      </c>
      <c r="J257" s="31">
        <f t="shared" si="103"/>
        <v>0</v>
      </c>
      <c r="K257" s="33"/>
      <c r="L257" s="31">
        <f>ROUND(I257,0)</f>
        <v>311541</v>
      </c>
      <c r="M257" s="31">
        <f t="shared" si="104"/>
        <v>0</v>
      </c>
      <c r="N257" s="33"/>
    </row>
    <row r="258" spans="2:14" ht="18" customHeight="1" x14ac:dyDescent="0.25">
      <c r="C258" s="178" t="s">
        <v>611</v>
      </c>
      <c r="D258" s="135" t="s">
        <v>612</v>
      </c>
      <c r="E258" s="137">
        <v>1489092.9817770002</v>
      </c>
      <c r="F258" s="137">
        <f t="shared" ref="F258" si="135">F259+F260</f>
        <v>1541382</v>
      </c>
      <c r="G258" s="136">
        <f t="shared" si="102"/>
        <v>52289.018222999759</v>
      </c>
      <c r="H258" s="136"/>
      <c r="I258" s="136">
        <f t="shared" ref="I258" si="136">I259+I260</f>
        <v>1541382</v>
      </c>
      <c r="J258" s="136">
        <f t="shared" si="103"/>
        <v>0</v>
      </c>
      <c r="K258" s="136"/>
      <c r="L258" s="136">
        <f t="shared" ref="L258" si="137">L259+L260</f>
        <v>1541382</v>
      </c>
      <c r="M258" s="136">
        <f t="shared" si="104"/>
        <v>0</v>
      </c>
      <c r="N258" s="136"/>
    </row>
    <row r="259" spans="2:14" ht="13.5" customHeight="1" x14ac:dyDescent="0.25">
      <c r="C259" s="133" t="s">
        <v>613</v>
      </c>
      <c r="D259" s="103" t="s">
        <v>614</v>
      </c>
      <c r="E259" s="32">
        <v>593640</v>
      </c>
      <c r="F259" s="32">
        <f>ROUND(E259,0)+52289</f>
        <v>645929</v>
      </c>
      <c r="G259" s="31">
        <f t="shared" si="102"/>
        <v>52289</v>
      </c>
      <c r="H259" s="49" t="s">
        <v>129</v>
      </c>
      <c r="I259" s="31">
        <f>ROUND(F259,0)</f>
        <v>645929</v>
      </c>
      <c r="J259" s="31">
        <f t="shared" si="103"/>
        <v>0</v>
      </c>
      <c r="K259" s="49"/>
      <c r="L259" s="31">
        <f>ROUND(I259,0)</f>
        <v>645929</v>
      </c>
      <c r="M259" s="31">
        <f t="shared" si="104"/>
        <v>0</v>
      </c>
      <c r="N259" s="49"/>
    </row>
    <row r="260" spans="2:14" ht="28.9" customHeight="1" x14ac:dyDescent="0.25">
      <c r="C260" s="133" t="s">
        <v>615</v>
      </c>
      <c r="D260" s="103" t="s">
        <v>529</v>
      </c>
      <c r="E260" s="32">
        <v>895452.98177700012</v>
      </c>
      <c r="F260" s="32">
        <f>ROUND(E260,0)</f>
        <v>895453</v>
      </c>
      <c r="G260" s="31">
        <f t="shared" ref="G260:G278" si="138">F260-E260</f>
        <v>1.8222999875433743E-2</v>
      </c>
      <c r="H260" s="191"/>
      <c r="I260" s="31">
        <f>ROUND(F260,0)</f>
        <v>895453</v>
      </c>
      <c r="J260" s="31">
        <f t="shared" ref="J260:J278" si="139">I260-F260</f>
        <v>0</v>
      </c>
      <c r="K260" s="191"/>
      <c r="L260" s="31">
        <f>ROUND(I260,0)</f>
        <v>895453</v>
      </c>
      <c r="M260" s="31">
        <f t="shared" ref="M260:M278" si="140">L260-I260</f>
        <v>0</v>
      </c>
      <c r="N260" s="191"/>
    </row>
    <row r="261" spans="2:14" ht="16.149999999999999" customHeight="1" x14ac:dyDescent="0.25">
      <c r="C261" s="192" t="s">
        <v>616</v>
      </c>
      <c r="D261" s="135" t="s">
        <v>617</v>
      </c>
      <c r="E261" s="137">
        <v>643256.80554049998</v>
      </c>
      <c r="F261" s="137">
        <f>F262+F263</f>
        <v>643257</v>
      </c>
      <c r="G261" s="136">
        <f t="shared" si="138"/>
        <v>0.19445950002409518</v>
      </c>
      <c r="H261" s="148"/>
      <c r="I261" s="136">
        <f>I262+I263</f>
        <v>643257</v>
      </c>
      <c r="J261" s="136">
        <f t="shared" si="139"/>
        <v>0</v>
      </c>
      <c r="K261" s="148"/>
      <c r="L261" s="136">
        <f>L262+L263</f>
        <v>643257</v>
      </c>
      <c r="M261" s="136">
        <f t="shared" si="140"/>
        <v>0</v>
      </c>
      <c r="N261" s="148"/>
    </row>
    <row r="262" spans="2:14" ht="16.5" customHeight="1" x14ac:dyDescent="0.25">
      <c r="B262" s="64" t="s">
        <v>618</v>
      </c>
      <c r="C262" s="133" t="s">
        <v>619</v>
      </c>
      <c r="D262" s="103" t="s">
        <v>614</v>
      </c>
      <c r="E262" s="32">
        <v>299308</v>
      </c>
      <c r="F262" s="32">
        <f t="shared" ref="F262:F268" si="141">ROUND(E262,0)</f>
        <v>299308</v>
      </c>
      <c r="G262" s="31">
        <f t="shared" si="138"/>
        <v>0</v>
      </c>
      <c r="H262" s="33"/>
      <c r="I262" s="31">
        <f t="shared" ref="I262:I268" si="142">ROUND(F262,0)</f>
        <v>299308</v>
      </c>
      <c r="J262" s="31">
        <f t="shared" si="139"/>
        <v>0</v>
      </c>
      <c r="K262" s="33"/>
      <c r="L262" s="31">
        <f t="shared" ref="L262:L268" si="143">ROUND(I262,0)</f>
        <v>299308</v>
      </c>
      <c r="M262" s="31">
        <f t="shared" si="140"/>
        <v>0</v>
      </c>
      <c r="N262" s="33"/>
    </row>
    <row r="263" spans="2:14" ht="16.5" customHeight="1" x14ac:dyDescent="0.25">
      <c r="B263" s="64" t="s">
        <v>620</v>
      </c>
      <c r="C263" s="133" t="s">
        <v>621</v>
      </c>
      <c r="D263" s="103" t="s">
        <v>622</v>
      </c>
      <c r="E263" s="32">
        <v>343948.80554049998</v>
      </c>
      <c r="F263" s="32">
        <f t="shared" si="141"/>
        <v>343949</v>
      </c>
      <c r="G263" s="31">
        <f t="shared" si="138"/>
        <v>0.19445950002409518</v>
      </c>
      <c r="H263" s="49"/>
      <c r="I263" s="31">
        <f t="shared" si="142"/>
        <v>343949</v>
      </c>
      <c r="J263" s="31">
        <f t="shared" si="139"/>
        <v>0</v>
      </c>
      <c r="K263" s="49"/>
      <c r="L263" s="31">
        <f t="shared" si="143"/>
        <v>343949</v>
      </c>
      <c r="M263" s="31">
        <f t="shared" si="140"/>
        <v>0</v>
      </c>
      <c r="N263" s="49"/>
    </row>
    <row r="264" spans="2:14" ht="18.75" customHeight="1" x14ac:dyDescent="0.25">
      <c r="B264" s="64" t="s">
        <v>623</v>
      </c>
      <c r="C264" s="192" t="s">
        <v>624</v>
      </c>
      <c r="D264" s="135" t="s">
        <v>625</v>
      </c>
      <c r="E264" s="66">
        <v>316025.5193245</v>
      </c>
      <c r="F264" s="66">
        <f t="shared" si="141"/>
        <v>316026</v>
      </c>
      <c r="G264" s="54">
        <f t="shared" si="138"/>
        <v>0.48067550000268966</v>
      </c>
      <c r="H264" s="67"/>
      <c r="I264" s="54">
        <f t="shared" si="142"/>
        <v>316026</v>
      </c>
      <c r="J264" s="54">
        <f t="shared" si="139"/>
        <v>0</v>
      </c>
      <c r="K264" s="67"/>
      <c r="L264" s="54">
        <f t="shared" si="143"/>
        <v>316026</v>
      </c>
      <c r="M264" s="54">
        <f t="shared" si="140"/>
        <v>0</v>
      </c>
      <c r="N264" s="67"/>
    </row>
    <row r="265" spans="2:14" ht="32.450000000000003" customHeight="1" x14ac:dyDescent="0.25">
      <c r="B265" s="64"/>
      <c r="C265" s="192" t="s">
        <v>626</v>
      </c>
      <c r="D265" s="135" t="s">
        <v>627</v>
      </c>
      <c r="E265" s="66">
        <v>3000</v>
      </c>
      <c r="F265" s="66">
        <f t="shared" si="141"/>
        <v>3000</v>
      </c>
      <c r="G265" s="54"/>
      <c r="H265" s="67"/>
      <c r="I265" s="54">
        <f t="shared" si="142"/>
        <v>3000</v>
      </c>
      <c r="J265" s="54">
        <f t="shared" si="139"/>
        <v>0</v>
      </c>
      <c r="K265" s="67"/>
      <c r="L265" s="54">
        <f t="shared" si="143"/>
        <v>3000</v>
      </c>
      <c r="M265" s="54">
        <f t="shared" si="140"/>
        <v>0</v>
      </c>
      <c r="N265" s="67"/>
    </row>
    <row r="266" spans="2:14" ht="31.9" customHeight="1" x14ac:dyDescent="0.25">
      <c r="B266" s="64" t="s">
        <v>628</v>
      </c>
      <c r="C266" s="192" t="s">
        <v>629</v>
      </c>
      <c r="D266" s="135" t="s">
        <v>630</v>
      </c>
      <c r="E266" s="66">
        <v>16292</v>
      </c>
      <c r="F266" s="66">
        <f t="shared" si="141"/>
        <v>16292</v>
      </c>
      <c r="G266" s="54">
        <f t="shared" si="138"/>
        <v>0</v>
      </c>
      <c r="H266" s="67"/>
      <c r="I266" s="54">
        <f t="shared" si="142"/>
        <v>16292</v>
      </c>
      <c r="J266" s="54">
        <f t="shared" si="139"/>
        <v>0</v>
      </c>
      <c r="K266" s="67"/>
      <c r="L266" s="54">
        <f t="shared" si="143"/>
        <v>16292</v>
      </c>
      <c r="M266" s="54">
        <f t="shared" si="140"/>
        <v>0</v>
      </c>
      <c r="N266" s="67"/>
    </row>
    <row r="267" spans="2:14" ht="27" customHeight="1" x14ac:dyDescent="0.25">
      <c r="B267" s="64" t="s">
        <v>631</v>
      </c>
      <c r="C267" s="192" t="s">
        <v>632</v>
      </c>
      <c r="D267" s="135" t="s">
        <v>217</v>
      </c>
      <c r="E267" s="66">
        <v>1049</v>
      </c>
      <c r="F267" s="66">
        <f t="shared" si="141"/>
        <v>1049</v>
      </c>
      <c r="G267" s="54">
        <f t="shared" si="138"/>
        <v>0</v>
      </c>
      <c r="H267" s="67"/>
      <c r="I267" s="54">
        <f t="shared" si="142"/>
        <v>1049</v>
      </c>
      <c r="J267" s="54">
        <f t="shared" si="139"/>
        <v>0</v>
      </c>
      <c r="K267" s="67"/>
      <c r="L267" s="54">
        <f t="shared" si="143"/>
        <v>1049</v>
      </c>
      <c r="M267" s="54">
        <f t="shared" si="140"/>
        <v>0</v>
      </c>
      <c r="N267" s="67"/>
    </row>
    <row r="268" spans="2:14" ht="57.6" customHeight="1" x14ac:dyDescent="0.25">
      <c r="B268" s="64" t="s">
        <v>633</v>
      </c>
      <c r="C268" s="192" t="s">
        <v>634</v>
      </c>
      <c r="D268" s="135" t="s">
        <v>635</v>
      </c>
      <c r="E268" s="66">
        <v>7000</v>
      </c>
      <c r="F268" s="66">
        <f t="shared" si="141"/>
        <v>7000</v>
      </c>
      <c r="G268" s="54">
        <f t="shared" si="138"/>
        <v>0</v>
      </c>
      <c r="H268" s="67"/>
      <c r="I268" s="54">
        <f t="shared" si="142"/>
        <v>7000</v>
      </c>
      <c r="J268" s="54">
        <f t="shared" si="139"/>
        <v>0</v>
      </c>
      <c r="K268" s="67"/>
      <c r="L268" s="54">
        <f t="shared" si="143"/>
        <v>7000</v>
      </c>
      <c r="M268" s="54">
        <f t="shared" si="140"/>
        <v>0</v>
      </c>
      <c r="N268" s="67"/>
    </row>
    <row r="269" spans="2:14" ht="27" customHeight="1" x14ac:dyDescent="0.25">
      <c r="C269" s="178" t="s">
        <v>636</v>
      </c>
      <c r="D269" s="135" t="s">
        <v>205</v>
      </c>
      <c r="E269" s="169">
        <v>106243</v>
      </c>
      <c r="F269" s="169">
        <f>F270+F271</f>
        <v>106243</v>
      </c>
      <c r="G269" s="54">
        <f t="shared" si="138"/>
        <v>0</v>
      </c>
      <c r="H269" s="67"/>
      <c r="I269" s="168">
        <f>I270+I271</f>
        <v>106243</v>
      </c>
      <c r="J269" s="54">
        <f t="shared" si="139"/>
        <v>0</v>
      </c>
      <c r="K269" s="67"/>
      <c r="L269" s="168">
        <f>L270+L271</f>
        <v>106243</v>
      </c>
      <c r="M269" s="54">
        <f t="shared" si="140"/>
        <v>0</v>
      </c>
      <c r="N269" s="67"/>
    </row>
    <row r="270" spans="2:14" ht="14.45" customHeight="1" x14ac:dyDescent="0.25">
      <c r="B270" s="64" t="s">
        <v>637</v>
      </c>
      <c r="C270" s="133" t="s">
        <v>638</v>
      </c>
      <c r="D270" s="103" t="s">
        <v>639</v>
      </c>
      <c r="E270" s="32">
        <v>70943</v>
      </c>
      <c r="F270" s="32">
        <f>ROUND(E270,0)</f>
        <v>70943</v>
      </c>
      <c r="G270" s="31">
        <f t="shared" si="138"/>
        <v>0</v>
      </c>
      <c r="H270" s="49"/>
      <c r="I270" s="31">
        <f>ROUND(F270,0)</f>
        <v>70943</v>
      </c>
      <c r="J270" s="31">
        <f t="shared" si="139"/>
        <v>0</v>
      </c>
      <c r="K270" s="49"/>
      <c r="L270" s="31">
        <f>ROUND(I270,0)</f>
        <v>70943</v>
      </c>
      <c r="M270" s="31">
        <f t="shared" si="140"/>
        <v>0</v>
      </c>
      <c r="N270" s="49"/>
    </row>
    <row r="271" spans="2:14" s="118" customFormat="1" ht="15" customHeight="1" thickBot="1" x14ac:dyDescent="0.3">
      <c r="B271" s="64" t="s">
        <v>640</v>
      </c>
      <c r="C271" s="133" t="s">
        <v>641</v>
      </c>
      <c r="D271" s="103" t="s">
        <v>642</v>
      </c>
      <c r="E271" s="32">
        <v>35300</v>
      </c>
      <c r="F271" s="32">
        <f>ROUND(E271,0)</f>
        <v>35300</v>
      </c>
      <c r="G271" s="31">
        <f t="shared" si="138"/>
        <v>0</v>
      </c>
      <c r="H271" s="49"/>
      <c r="I271" s="31">
        <f>ROUND(F271,0)</f>
        <v>35300</v>
      </c>
      <c r="J271" s="31">
        <f t="shared" si="139"/>
        <v>0</v>
      </c>
      <c r="K271" s="49"/>
      <c r="L271" s="31">
        <f>ROUND(I271,0)</f>
        <v>35300</v>
      </c>
      <c r="M271" s="31">
        <f t="shared" si="140"/>
        <v>0</v>
      </c>
      <c r="N271" s="49"/>
    </row>
    <row r="272" spans="2:14" s="118" customFormat="1" ht="17.45" hidden="1" customHeight="1" outlineLevel="1" thickBot="1" x14ac:dyDescent="0.25">
      <c r="C272" s="129" t="s">
        <v>643</v>
      </c>
      <c r="D272" s="130" t="s">
        <v>644</v>
      </c>
      <c r="E272" s="38">
        <v>0</v>
      </c>
      <c r="F272" s="38">
        <f>SUM(F273:F274)</f>
        <v>0</v>
      </c>
      <c r="G272" s="37">
        <f t="shared" si="138"/>
        <v>0</v>
      </c>
      <c r="H272" s="39"/>
      <c r="I272" s="37">
        <f>SUM(I273:I274)</f>
        <v>0</v>
      </c>
      <c r="J272" s="37">
        <f t="shared" si="139"/>
        <v>0</v>
      </c>
      <c r="K272" s="39"/>
      <c r="L272" s="37">
        <f>SUM(L273:L274)</f>
        <v>0</v>
      </c>
      <c r="M272" s="37">
        <f t="shared" si="140"/>
        <v>0</v>
      </c>
      <c r="N272" s="39"/>
    </row>
    <row r="273" spans="3:14" ht="17.25" hidden="1" customHeight="1" outlineLevel="1" thickBot="1" x14ac:dyDescent="0.3">
      <c r="C273" s="125" t="s">
        <v>123</v>
      </c>
      <c r="D273" s="126" t="s">
        <v>645</v>
      </c>
      <c r="E273" s="66"/>
      <c r="F273" s="66"/>
      <c r="G273" s="54">
        <f t="shared" si="138"/>
        <v>0</v>
      </c>
      <c r="H273" s="67"/>
      <c r="I273" s="54"/>
      <c r="J273" s="54">
        <f t="shared" si="139"/>
        <v>0</v>
      </c>
      <c r="K273" s="67"/>
      <c r="L273" s="54"/>
      <c r="M273" s="54">
        <f t="shared" si="140"/>
        <v>0</v>
      </c>
      <c r="N273" s="67"/>
    </row>
    <row r="274" spans="3:14" ht="15.75" hidden="1" outlineLevel="1" thickBot="1" x14ac:dyDescent="0.3">
      <c r="C274" s="125" t="s">
        <v>186</v>
      </c>
      <c r="D274" s="126" t="s">
        <v>646</v>
      </c>
      <c r="E274" s="66"/>
      <c r="F274" s="66"/>
      <c r="G274" s="54">
        <f t="shared" si="138"/>
        <v>0</v>
      </c>
      <c r="H274" s="67"/>
      <c r="I274" s="54"/>
      <c r="J274" s="54">
        <f t="shared" si="139"/>
        <v>0</v>
      </c>
      <c r="K274" s="67"/>
      <c r="L274" s="54"/>
      <c r="M274" s="54">
        <f t="shared" si="140"/>
        <v>0</v>
      </c>
      <c r="N274" s="67"/>
    </row>
    <row r="275" spans="3:14" s="118" customFormat="1" ht="30" customHeight="1" collapsed="1" thickBot="1" x14ac:dyDescent="0.25">
      <c r="C275" s="193"/>
      <c r="D275" s="194" t="s">
        <v>647</v>
      </c>
      <c r="E275" s="196">
        <v>54533532.808720239</v>
      </c>
      <c r="F275" s="196">
        <f>F132+F142+F144+F145+F150+F152+F186+F199+F218+F272+0.5</f>
        <v>54591888.5</v>
      </c>
      <c r="G275" s="195">
        <f t="shared" si="138"/>
        <v>58355.691279761493</v>
      </c>
      <c r="H275" s="197"/>
      <c r="I275" s="195">
        <f>I132+I142+I144+I145+I150+I152+I186+I199+I218+I272+0.5</f>
        <v>55068746.5</v>
      </c>
      <c r="J275" s="195">
        <f t="shared" si="139"/>
        <v>476858</v>
      </c>
      <c r="K275" s="197"/>
      <c r="L275" s="195">
        <f>L132+L142+L144+L145+L150+L152+L186+L199+L218+L272+0.5</f>
        <v>55226538.5</v>
      </c>
      <c r="M275" s="195">
        <f t="shared" si="140"/>
        <v>157792</v>
      </c>
      <c r="N275" s="197"/>
    </row>
    <row r="276" spans="3:14" s="28" customFormat="1" ht="15.75" customHeight="1" thickBot="1" x14ac:dyDescent="0.3">
      <c r="C276" s="129" t="s">
        <v>240</v>
      </c>
      <c r="D276" s="130" t="s">
        <v>648</v>
      </c>
      <c r="E276" s="38">
        <v>3601890.1379218102</v>
      </c>
      <c r="F276" s="38">
        <f>ROUND(E276,0)</f>
        <v>3601890</v>
      </c>
      <c r="G276" s="37">
        <f t="shared" si="138"/>
        <v>-0.13792181015014648</v>
      </c>
      <c r="H276" s="47"/>
      <c r="I276" s="37">
        <f>ROUND(F276,0)</f>
        <v>3601890</v>
      </c>
      <c r="J276" s="37">
        <f t="shared" si="139"/>
        <v>0</v>
      </c>
      <c r="K276" s="47"/>
      <c r="L276" s="37">
        <f>ROUND(I276,0)</f>
        <v>3601890</v>
      </c>
      <c r="M276" s="37">
        <f t="shared" si="140"/>
        <v>0</v>
      </c>
      <c r="N276" s="47"/>
    </row>
    <row r="277" spans="3:14" ht="15.75" thickBot="1" x14ac:dyDescent="0.3">
      <c r="C277" s="193"/>
      <c r="D277" s="194" t="s">
        <v>649</v>
      </c>
      <c r="E277" s="199">
        <v>58135422.946642049</v>
      </c>
      <c r="F277" s="199">
        <f>F275+F276</f>
        <v>58193778.5</v>
      </c>
      <c r="G277" s="198">
        <f t="shared" si="138"/>
        <v>58355.553357951343</v>
      </c>
      <c r="H277" s="200"/>
      <c r="I277" s="198">
        <f>I275+I276</f>
        <v>58670636.5</v>
      </c>
      <c r="J277" s="198">
        <f t="shared" si="139"/>
        <v>476858</v>
      </c>
      <c r="K277" s="200"/>
      <c r="L277" s="198">
        <f>L275+L276</f>
        <v>58828428.5</v>
      </c>
      <c r="M277" s="198">
        <f t="shared" si="140"/>
        <v>157792</v>
      </c>
      <c r="N277" s="200"/>
    </row>
    <row r="278" spans="3:14" ht="16.5" thickTop="1" thickBot="1" x14ac:dyDescent="0.3">
      <c r="C278" s="201" t="s">
        <v>650</v>
      </c>
      <c r="D278" s="202" t="s">
        <v>651</v>
      </c>
      <c r="E278" s="204">
        <v>26873.285557955503</v>
      </c>
      <c r="F278" s="204">
        <f>F126-F277-0.2</f>
        <v>26873.3</v>
      </c>
      <c r="G278" s="203">
        <f t="shared" si="138"/>
        <v>1.4442044495808659E-2</v>
      </c>
      <c r="H278" s="205"/>
      <c r="I278" s="203">
        <f>I126-I277-0.2</f>
        <v>43996.3</v>
      </c>
      <c r="J278" s="203">
        <f t="shared" si="139"/>
        <v>17123.000000000004</v>
      </c>
      <c r="K278" s="205"/>
      <c r="L278" s="203">
        <f>L126-L277-0.2</f>
        <v>47155.3</v>
      </c>
      <c r="M278" s="203">
        <f t="shared" si="140"/>
        <v>3159</v>
      </c>
      <c r="N278" s="205"/>
    </row>
  </sheetData>
  <mergeCells count="5">
    <mergeCell ref="C129:D129"/>
    <mergeCell ref="C130:D130"/>
    <mergeCell ref="K165:K166"/>
    <mergeCell ref="C2:D2"/>
    <mergeCell ref="C3:D3"/>
  </mergeCells>
  <conditionalFormatting sqref="E278:G278">
    <cfRule type="cellIs" dxfId="2" priority="4" operator="lessThan">
      <formula>0</formula>
    </cfRule>
  </conditionalFormatting>
  <conditionalFormatting sqref="I278:J278">
    <cfRule type="cellIs" dxfId="1" priority="2" operator="lessThan">
      <formula>0</formula>
    </cfRule>
  </conditionalFormatting>
  <conditionalFormatting sqref="L278:M278">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3D700-A8B4-4771-977E-3731EE0DADE4}">
  <sheetPr>
    <tabColor rgb="FF00B050"/>
    <pageSetUpPr fitToPage="1"/>
  </sheetPr>
  <dimension ref="A1:DP252"/>
  <sheetViews>
    <sheetView zoomScale="122" zoomScaleNormal="122" workbookViewId="0">
      <pane ySplit="9" topLeftCell="A153" activePane="bottomLeft" state="frozen"/>
      <selection activeCell="A4" sqref="A4"/>
      <selection pane="bottomLeft" activeCell="Y159" sqref="Y159"/>
    </sheetView>
  </sheetViews>
  <sheetFormatPr defaultColWidth="9.140625" defaultRowHeight="12.75" outlineLevelRow="1" outlineLevelCol="1" x14ac:dyDescent="0.2"/>
  <cols>
    <col min="1" max="1" width="5.42578125" style="206" customWidth="1"/>
    <col min="2" max="2" width="26.7109375" style="207" customWidth="1"/>
    <col min="3" max="3" width="9" style="207" customWidth="1" outlineLevel="1"/>
    <col min="4" max="4" width="9.42578125" style="207" customWidth="1" outlineLevel="1" collapsed="1"/>
    <col min="5" max="5" width="0.28515625" style="221" customWidth="1" outlineLevel="1"/>
    <col min="6" max="6" width="9.42578125" style="208" customWidth="1"/>
    <col min="7" max="7" width="9.42578125" style="207" customWidth="1"/>
    <col min="8" max="8" width="11" style="222" hidden="1" customWidth="1" outlineLevel="1"/>
    <col min="9" max="9" width="11" style="223" customWidth="1" collapsed="1"/>
    <col min="10" max="10" width="9.5703125" style="222" hidden="1" customWidth="1" outlineLevel="1"/>
    <col min="11" max="11" width="11.28515625" style="223" hidden="1" customWidth="1" outlineLevel="1"/>
    <col min="12" max="12" width="10.5703125" style="207" hidden="1" customWidth="1" outlineLevel="1" collapsed="1"/>
    <col min="13" max="14" width="9.42578125" style="207" hidden="1" customWidth="1" outlineLevel="1"/>
    <col min="15" max="15" width="9.42578125" style="224" hidden="1" customWidth="1" outlineLevel="1"/>
    <col min="16" max="16" width="9.42578125" style="225" hidden="1" customWidth="1" outlineLevel="1"/>
    <col min="17" max="18" width="11.42578125" style="207" hidden="1" customWidth="1" outlineLevel="1"/>
    <col min="19" max="19" width="6.28515625" style="207" customWidth="1" collapsed="1"/>
    <col min="20" max="20" width="11.7109375" style="226" hidden="1" customWidth="1" outlineLevel="1"/>
    <col min="21" max="23" width="11.7109375" style="227" hidden="1" customWidth="1" outlineLevel="1"/>
    <col min="24" max="24" width="11.7109375" style="227" customWidth="1" collapsed="1"/>
    <col min="25" max="26" width="11.7109375" style="227" customWidth="1"/>
    <col min="27" max="32" width="11" style="227" customWidth="1"/>
    <col min="33" max="34" width="9.140625" style="219"/>
    <col min="35" max="35" width="14.42578125" style="207" customWidth="1"/>
    <col min="36" max="16384" width="9.140625" style="207"/>
  </cols>
  <sheetData>
    <row r="1" spans="1:42" ht="17.25" hidden="1" customHeight="1" outlineLevel="1" x14ac:dyDescent="0.25">
      <c r="D1" s="208"/>
      <c r="E1" s="209"/>
      <c r="F1" s="207"/>
      <c r="G1" s="210"/>
      <c r="H1" s="211"/>
      <c r="I1" s="210"/>
      <c r="J1" s="212"/>
      <c r="K1" s="210"/>
      <c r="N1" s="213"/>
      <c r="O1" s="214"/>
      <c r="P1" s="215"/>
      <c r="T1" s="216"/>
      <c r="U1" s="207"/>
      <c r="V1" s="207"/>
      <c r="W1" s="207"/>
      <c r="X1" s="207"/>
      <c r="Y1" s="207"/>
      <c r="Z1" s="207"/>
      <c r="AA1" s="217"/>
      <c r="AB1" s="217"/>
      <c r="AC1" s="217"/>
      <c r="AD1" s="217"/>
      <c r="AE1" s="218"/>
      <c r="AF1" s="218" t="s">
        <v>652</v>
      </c>
    </row>
    <row r="2" spans="1:42" ht="17.25" hidden="1" customHeight="1" outlineLevel="1" x14ac:dyDescent="0.25">
      <c r="D2" s="208"/>
      <c r="E2" s="209"/>
      <c r="F2" s="207"/>
      <c r="G2" s="210"/>
      <c r="H2" s="211"/>
      <c r="I2" s="210"/>
      <c r="J2" s="212"/>
      <c r="K2" s="210"/>
      <c r="N2" s="213"/>
      <c r="O2" s="214"/>
      <c r="P2" s="215"/>
      <c r="T2" s="216"/>
      <c r="U2" s="207"/>
      <c r="V2" s="207"/>
      <c r="W2" s="207"/>
      <c r="X2" s="207"/>
      <c r="Y2" s="207"/>
      <c r="Z2" s="207"/>
      <c r="AA2" s="217"/>
      <c r="AB2" s="217"/>
      <c r="AC2" s="217"/>
      <c r="AD2" s="217"/>
      <c r="AE2" s="218"/>
      <c r="AF2" s="218" t="s">
        <v>653</v>
      </c>
    </row>
    <row r="3" spans="1:42" ht="17.25" hidden="1" customHeight="1" outlineLevel="1" x14ac:dyDescent="0.25">
      <c r="D3" s="208"/>
      <c r="E3" s="209"/>
      <c r="F3" s="207"/>
      <c r="G3" s="210"/>
      <c r="H3" s="211"/>
      <c r="I3" s="210"/>
      <c r="J3" s="212"/>
      <c r="K3" s="210"/>
      <c r="N3" s="213"/>
      <c r="O3" s="214"/>
      <c r="P3" s="215"/>
      <c r="T3" s="216"/>
      <c r="U3" s="207"/>
      <c r="V3" s="207"/>
      <c r="W3" s="207"/>
      <c r="X3" s="207"/>
      <c r="Y3" s="207"/>
      <c r="Z3" s="207"/>
      <c r="AA3" s="217"/>
      <c r="AB3" s="217"/>
      <c r="AC3" s="217"/>
      <c r="AD3" s="217"/>
      <c r="AE3" s="218"/>
      <c r="AF3" s="218" t="s">
        <v>654</v>
      </c>
    </row>
    <row r="4" spans="1:42" ht="18.75" collapsed="1" x14ac:dyDescent="0.3">
      <c r="B4" s="220" t="s">
        <v>655</v>
      </c>
    </row>
    <row r="5" spans="1:42" ht="15" x14ac:dyDescent="0.25">
      <c r="A5" s="228" t="s">
        <v>656</v>
      </c>
      <c r="B5" s="228"/>
      <c r="H5" s="229"/>
      <c r="I5" s="230"/>
      <c r="J5" s="229"/>
      <c r="K5" s="231"/>
      <c r="N5" s="231"/>
      <c r="O5" s="232"/>
      <c r="P5" s="232"/>
      <c r="S5" s="231"/>
      <c r="AE5" s="233"/>
    </row>
    <row r="6" spans="1:42" ht="15" x14ac:dyDescent="0.25">
      <c r="A6" s="228"/>
      <c r="H6" s="229"/>
      <c r="I6" s="230"/>
      <c r="J6" s="229"/>
      <c r="K6" s="231"/>
      <c r="N6" s="231"/>
      <c r="O6" s="232"/>
      <c r="P6" s="232"/>
      <c r="S6" s="231"/>
      <c r="AE6" s="233"/>
    </row>
    <row r="7" spans="1:42" ht="12.75" customHeight="1" x14ac:dyDescent="0.2">
      <c r="L7" s="234">
        <v>1.6580000000000001E-2</v>
      </c>
      <c r="M7" s="235">
        <v>2.5000000000000001E-3</v>
      </c>
      <c r="R7" s="236"/>
    </row>
    <row r="8" spans="1:42" ht="4.5" customHeight="1" thickBot="1" x14ac:dyDescent="0.25">
      <c r="H8" s="211"/>
      <c r="I8" s="210"/>
      <c r="J8" s="211"/>
      <c r="K8" s="210"/>
      <c r="L8" s="237"/>
      <c r="M8" s="238"/>
      <c r="O8" s="239"/>
      <c r="P8" s="214"/>
      <c r="R8" s="236"/>
    </row>
    <row r="9" spans="1:42" s="257" customFormat="1" ht="36.75" customHeight="1" thickBot="1" x14ac:dyDescent="0.25">
      <c r="A9" s="662" t="s">
        <v>657</v>
      </c>
      <c r="B9" s="663"/>
      <c r="C9" s="241" t="s">
        <v>658</v>
      </c>
      <c r="D9" s="242" t="s">
        <v>659</v>
      </c>
      <c r="E9" s="243" t="s">
        <v>660</v>
      </c>
      <c r="F9" s="242" t="s">
        <v>660</v>
      </c>
      <c r="G9" s="242" t="s">
        <v>661</v>
      </c>
      <c r="H9" s="244" t="s">
        <v>662</v>
      </c>
      <c r="I9" s="245" t="s">
        <v>663</v>
      </c>
      <c r="J9" s="244" t="s">
        <v>664</v>
      </c>
      <c r="K9" s="245" t="s">
        <v>665</v>
      </c>
      <c r="L9" s="240" t="s">
        <v>666</v>
      </c>
      <c r="M9" s="240" t="s">
        <v>667</v>
      </c>
      <c r="N9" s="240" t="s">
        <v>668</v>
      </c>
      <c r="O9" s="246" t="s">
        <v>669</v>
      </c>
      <c r="P9" s="247" t="s">
        <v>670</v>
      </c>
      <c r="Q9" s="248" t="s">
        <v>671</v>
      </c>
      <c r="R9" s="249" t="s">
        <v>672</v>
      </c>
      <c r="S9" s="250" t="s">
        <v>673</v>
      </c>
      <c r="T9" s="251" t="s">
        <v>674</v>
      </c>
      <c r="U9" s="252" t="s">
        <v>675</v>
      </c>
      <c r="V9" s="252" t="s">
        <v>676</v>
      </c>
      <c r="W9" s="252" t="s">
        <v>677</v>
      </c>
      <c r="X9" s="253" t="s">
        <v>678</v>
      </c>
      <c r="Y9" s="253" t="s">
        <v>679</v>
      </c>
      <c r="Z9" s="253" t="s">
        <v>680</v>
      </c>
      <c r="AA9" s="253" t="s">
        <v>681</v>
      </c>
      <c r="AB9" s="253" t="s">
        <v>682</v>
      </c>
      <c r="AC9" s="253" t="s">
        <v>683</v>
      </c>
      <c r="AD9" s="253" t="s">
        <v>684</v>
      </c>
      <c r="AE9" s="253" t="s">
        <v>685</v>
      </c>
      <c r="AF9" s="254" t="s">
        <v>686</v>
      </c>
      <c r="AG9" s="255"/>
      <c r="AH9" s="256"/>
    </row>
    <row r="10" spans="1:42" s="279" customFormat="1" x14ac:dyDescent="0.2">
      <c r="A10" s="258">
        <v>1</v>
      </c>
      <c r="B10" s="259" t="s">
        <v>687</v>
      </c>
      <c r="C10" s="260" t="s">
        <v>688</v>
      </c>
      <c r="D10" s="261" t="s">
        <v>689</v>
      </c>
      <c r="E10" s="262" t="s">
        <v>690</v>
      </c>
      <c r="F10" s="263" t="s">
        <v>691</v>
      </c>
      <c r="G10" s="263" t="s">
        <v>692</v>
      </c>
      <c r="H10" s="264">
        <f>(2100000)*0.702804-8</f>
        <v>1475880.4</v>
      </c>
      <c r="I10" s="265">
        <f>H10/0.702804</f>
        <v>2099988.6170255151</v>
      </c>
      <c r="J10" s="264">
        <f>H10</f>
        <v>1475880.4</v>
      </c>
      <c r="K10" s="266">
        <f>J10/0.702804</f>
        <v>2099988.6170255151</v>
      </c>
      <c r="L10" s="267">
        <f>0.101%+$L$7</f>
        <v>1.7590000000000001E-2</v>
      </c>
      <c r="M10" s="268">
        <f>M7</f>
        <v>2.5000000000000001E-3</v>
      </c>
      <c r="N10" s="269">
        <v>4</v>
      </c>
      <c r="O10" s="270"/>
      <c r="P10" s="271">
        <v>0</v>
      </c>
      <c r="Q10" s="272">
        <v>2082913</v>
      </c>
      <c r="R10" s="273">
        <v>2065839</v>
      </c>
      <c r="S10" s="274" t="s">
        <v>693</v>
      </c>
      <c r="T10" s="275">
        <v>1686634</v>
      </c>
      <c r="U10" s="276">
        <v>97944.803956721938</v>
      </c>
      <c r="V10" s="276">
        <v>97944.803956721938</v>
      </c>
      <c r="W10" s="276">
        <v>97944.8</v>
      </c>
      <c r="X10" s="276">
        <v>97945.803956721895</v>
      </c>
      <c r="Y10" s="276">
        <v>97946.803956721895</v>
      </c>
      <c r="Z10" s="276">
        <v>97946.803956721895</v>
      </c>
      <c r="AA10" s="276">
        <v>97946.803956721895</v>
      </c>
      <c r="AB10" s="276">
        <v>97946.803956721895</v>
      </c>
      <c r="AC10" s="276">
        <v>97946.803956721895</v>
      </c>
      <c r="AD10" s="276">
        <v>97946.803956721895</v>
      </c>
      <c r="AE10" s="276">
        <v>707172.96438950277</v>
      </c>
      <c r="AF10" s="277">
        <f t="shared" ref="AF10:AF41" si="0">SUM(X10:AE10)</f>
        <v>1392799.5920865559</v>
      </c>
      <c r="AG10" s="278"/>
      <c r="AH10" s="278"/>
    </row>
    <row r="11" spans="1:42" s="296" customFormat="1" ht="13.5" thickBot="1" x14ac:dyDescent="0.25">
      <c r="A11" s="280"/>
      <c r="B11" s="281" t="s">
        <v>694</v>
      </c>
      <c r="C11" s="282"/>
      <c r="D11" s="282"/>
      <c r="E11" s="283"/>
      <c r="F11" s="284"/>
      <c r="G11" s="285"/>
      <c r="H11" s="286"/>
      <c r="I11" s="287"/>
      <c r="J11" s="286"/>
      <c r="K11" s="288"/>
      <c r="L11" s="282"/>
      <c r="M11" s="282"/>
      <c r="N11" s="282"/>
      <c r="O11" s="289"/>
      <c r="P11" s="288"/>
      <c r="Q11" s="290"/>
      <c r="R11" s="291"/>
      <c r="S11" s="292" t="s">
        <v>695</v>
      </c>
      <c r="T11" s="293"/>
      <c r="U11" s="294">
        <f>((SUM(U10:$AE10))*($L10+$M10))</f>
        <v>33884.477059999997</v>
      </c>
      <c r="V11" s="294">
        <f>((SUM(V10:$AE10))*($L10+$M10))</f>
        <v>31916.765948509455</v>
      </c>
      <c r="W11" s="294">
        <f>((SUM(W10:$AE10))*($L10+$M10))</f>
        <v>29949.054837018914</v>
      </c>
      <c r="X11" s="294">
        <f>((SUM(X10:$AE10))*($L10+$M10))</f>
        <v>27981.343805018907</v>
      </c>
      <c r="Y11" s="294">
        <f>((SUM(Y10:$AE10))*($L10+$M10))</f>
        <v>26013.612603528367</v>
      </c>
      <c r="Z11" s="294">
        <f>((SUM(Z10:$AE10))*($L10+$M10))</f>
        <v>24045.861312037825</v>
      </c>
      <c r="AA11" s="294">
        <f>((SUM(AA10:$AE10))*($L10+$M10))</f>
        <v>22078.110020547283</v>
      </c>
      <c r="AB11" s="294">
        <f>((SUM(AB10:$AE10))*($L10+$M10))</f>
        <v>20110.358729056741</v>
      </c>
      <c r="AC11" s="294">
        <f>((SUM(AC10:$AE10))*($L10+$M10))</f>
        <v>18142.607437566196</v>
      </c>
      <c r="AD11" s="294">
        <f>((SUM(AD10:$AE10))*($L10+$M10))</f>
        <v>16174.856146075654</v>
      </c>
      <c r="AE11" s="294">
        <f>(((SUM(AE10:$AE10))*($L10+$M10)))*6.5</f>
        <v>92346.181554803217</v>
      </c>
      <c r="AF11" s="295">
        <f t="shared" si="0"/>
        <v>246892.93160863419</v>
      </c>
      <c r="AG11" s="278"/>
      <c r="AH11" s="278"/>
    </row>
    <row r="12" spans="1:42" s="279" customFormat="1" x14ac:dyDescent="0.2">
      <c r="A12" s="297">
        <v>2</v>
      </c>
      <c r="B12" s="298" t="s">
        <v>687</v>
      </c>
      <c r="C12" s="260" t="s">
        <v>696</v>
      </c>
      <c r="D12" s="299" t="s">
        <v>697</v>
      </c>
      <c r="E12" s="300">
        <v>40808</v>
      </c>
      <c r="F12" s="300">
        <v>40808</v>
      </c>
      <c r="G12" s="300" t="s">
        <v>698</v>
      </c>
      <c r="H12" s="301">
        <f>5383766.44*0.702804+874986</f>
        <v>4658718.5890977606</v>
      </c>
      <c r="I12" s="265">
        <f>H12/0.702804+1</f>
        <v>6628760.3540983843</v>
      </c>
      <c r="J12" s="301">
        <f>H12</f>
        <v>4658718.5890977606</v>
      </c>
      <c r="K12" s="266">
        <f>J12/0.702804</f>
        <v>6628759.3540983843</v>
      </c>
      <c r="L12" s="267">
        <f>0.101%+$L$7</f>
        <v>1.7590000000000001E-2</v>
      </c>
      <c r="M12" s="302">
        <f>M7</f>
        <v>2.5000000000000001E-3</v>
      </c>
      <c r="N12" s="303">
        <v>4</v>
      </c>
      <c r="O12" s="304"/>
      <c r="P12" s="305">
        <v>0</v>
      </c>
      <c r="Q12" s="272">
        <v>6355568</v>
      </c>
      <c r="R12" s="273">
        <v>6281579</v>
      </c>
      <c r="S12" s="306" t="s">
        <v>693</v>
      </c>
      <c r="T12" s="307">
        <v>4711184</v>
      </c>
      <c r="U12" s="308">
        <v>392598.78998981224</v>
      </c>
      <c r="V12" s="308">
        <v>392598.78998981224</v>
      </c>
      <c r="W12" s="308">
        <v>392598.8</v>
      </c>
      <c r="X12" s="308">
        <v>392598.78998981224</v>
      </c>
      <c r="Y12" s="309">
        <v>392598.78998981224</v>
      </c>
      <c r="Z12" s="308">
        <v>392598.78998981224</v>
      </c>
      <c r="AA12" s="308">
        <v>392598.78998981201</v>
      </c>
      <c r="AB12" s="308">
        <v>392598.78998981224</v>
      </c>
      <c r="AC12" s="308">
        <v>392598.78998981224</v>
      </c>
      <c r="AD12" s="308">
        <v>392598.78998981224</v>
      </c>
      <c r="AE12" s="308">
        <v>785196.09009168996</v>
      </c>
      <c r="AF12" s="310">
        <f t="shared" si="0"/>
        <v>3533387.6200203756</v>
      </c>
      <c r="AG12" s="278"/>
      <c r="AH12" s="278"/>
      <c r="AI12" s="278"/>
      <c r="AJ12" s="278"/>
      <c r="AK12" s="278"/>
      <c r="AL12" s="278"/>
      <c r="AM12" s="278"/>
      <c r="AN12" s="278"/>
      <c r="AO12" s="278"/>
      <c r="AP12" s="278"/>
    </row>
    <row r="13" spans="1:42" s="296" customFormat="1" ht="13.5" thickBot="1" x14ac:dyDescent="0.25">
      <c r="A13" s="280"/>
      <c r="B13" s="281" t="s">
        <v>699</v>
      </c>
      <c r="C13" s="282"/>
      <c r="D13" s="282"/>
      <c r="E13" s="283"/>
      <c r="F13" s="284"/>
      <c r="G13" s="285"/>
      <c r="H13" s="286"/>
      <c r="I13" s="287"/>
      <c r="J13" s="286"/>
      <c r="K13" s="288"/>
      <c r="L13" s="282"/>
      <c r="M13" s="282"/>
      <c r="N13" s="282"/>
      <c r="O13" s="289"/>
      <c r="P13" s="288"/>
      <c r="Q13" s="311"/>
      <c r="R13" s="312"/>
      <c r="S13" s="292" t="s">
        <v>695</v>
      </c>
      <c r="T13" s="293"/>
      <c r="U13" s="294">
        <f>((SUM(U12:$AE12))*($L12+$M12))</f>
        <v>94647.686560000002</v>
      </c>
      <c r="V13" s="294">
        <f>((SUM(V12:$AE12))*($L12+$M12))</f>
        <v>86760.376869104672</v>
      </c>
      <c r="W13" s="294">
        <f>((SUM(W12:$AE12))*($L12+$M12))</f>
        <v>78873.067178209341</v>
      </c>
      <c r="X13" s="294">
        <f>((SUM(X12:$AE12))*($L12+$M12))</f>
        <v>70985.757286209351</v>
      </c>
      <c r="Y13" s="294">
        <f>((SUM(Y12:$AE12))*($L12+$M12))</f>
        <v>63098.447595314014</v>
      </c>
      <c r="Z13" s="294">
        <f>((SUM(Z12:$AE12))*($L12+$M12))</f>
        <v>55211.137904418691</v>
      </c>
      <c r="AA13" s="294">
        <f>((SUM(AA12:$AE12))*($L12+$M12))</f>
        <v>47323.82821352336</v>
      </c>
      <c r="AB13" s="294">
        <f>((SUM(AB12:$AE12))*($L12+$M12))</f>
        <v>39436.518522628037</v>
      </c>
      <c r="AC13" s="294">
        <f>((SUM(AC12:$AE12))*($L12+$M12))</f>
        <v>31549.208831732711</v>
      </c>
      <c r="AD13" s="294">
        <f>((SUM(AD12:$AE12))*($L12+$M12))</f>
        <v>23661.89914083738</v>
      </c>
      <c r="AE13" s="294">
        <f>((SUM(AE12:$AE12))*($L12+$M12))</f>
        <v>15774.589449942052</v>
      </c>
      <c r="AF13" s="295">
        <f t="shared" si="0"/>
        <v>347041.38694460556</v>
      </c>
      <c r="AG13" s="278"/>
      <c r="AH13" s="278"/>
    </row>
    <row r="14" spans="1:42" s="279" customFormat="1" x14ac:dyDescent="0.2">
      <c r="A14" s="258">
        <v>3</v>
      </c>
      <c r="B14" s="259" t="s">
        <v>700</v>
      </c>
      <c r="C14" s="260" t="s">
        <v>701</v>
      </c>
      <c r="D14" s="313" t="s">
        <v>702</v>
      </c>
      <c r="E14" s="314">
        <v>2012</v>
      </c>
      <c r="F14" s="300">
        <v>41096</v>
      </c>
      <c r="G14" s="300" t="s">
        <v>703</v>
      </c>
      <c r="H14" s="264">
        <v>612196</v>
      </c>
      <c r="I14" s="265">
        <f>H14/0.702804</f>
        <v>871076.43098217994</v>
      </c>
      <c r="J14" s="264">
        <f>H14</f>
        <v>612196</v>
      </c>
      <c r="K14" s="266">
        <f>J14/0.702804</f>
        <v>871076.43098217994</v>
      </c>
      <c r="L14" s="267">
        <f>0.105%+$L$7</f>
        <v>1.763E-2</v>
      </c>
      <c r="M14" s="268">
        <f>M7</f>
        <v>2.5000000000000001E-3</v>
      </c>
      <c r="N14" s="269">
        <v>4</v>
      </c>
      <c r="O14" s="270"/>
      <c r="P14" s="271">
        <v>0</v>
      </c>
      <c r="Q14" s="272">
        <v>856768</v>
      </c>
      <c r="R14" s="273">
        <v>828311</v>
      </c>
      <c r="S14" s="274" t="s">
        <v>693</v>
      </c>
      <c r="T14" s="275">
        <v>639883</v>
      </c>
      <c r="U14" s="276">
        <v>53323.543975276181</v>
      </c>
      <c r="V14" s="276">
        <v>53323.543975276181</v>
      </c>
      <c r="W14" s="276">
        <v>53323.56</v>
      </c>
      <c r="X14" s="276">
        <v>53323.543975276181</v>
      </c>
      <c r="Y14" s="276">
        <v>53323.543975276181</v>
      </c>
      <c r="Z14" s="276">
        <v>53323.543975276181</v>
      </c>
      <c r="AA14" s="276">
        <v>53323.543975276181</v>
      </c>
      <c r="AB14" s="276">
        <v>53323.543975276181</v>
      </c>
      <c r="AC14" s="276">
        <v>53323.543975276181</v>
      </c>
      <c r="AD14" s="276">
        <v>53323.543975276181</v>
      </c>
      <c r="AE14" s="276">
        <v>106647.54422251438</v>
      </c>
      <c r="AF14" s="277">
        <f t="shared" si="0"/>
        <v>479912.35204944765</v>
      </c>
      <c r="AG14" s="278"/>
      <c r="AH14" s="278"/>
    </row>
    <row r="15" spans="1:42" s="296" customFormat="1" ht="13.5" thickBot="1" x14ac:dyDescent="0.25">
      <c r="A15" s="280"/>
      <c r="B15" s="281" t="s">
        <v>704</v>
      </c>
      <c r="C15" s="282"/>
      <c r="D15" s="282"/>
      <c r="E15" s="283"/>
      <c r="F15" s="284"/>
      <c r="G15" s="285"/>
      <c r="H15" s="286"/>
      <c r="I15" s="287"/>
      <c r="J15" s="286"/>
      <c r="K15" s="288"/>
      <c r="L15" s="282"/>
      <c r="M15" s="282"/>
      <c r="N15" s="282"/>
      <c r="O15" s="289"/>
      <c r="P15" s="288"/>
      <c r="Q15" s="311"/>
      <c r="R15" s="312"/>
      <c r="S15" s="292" t="s">
        <v>695</v>
      </c>
      <c r="T15" s="293"/>
      <c r="U15" s="294">
        <f>((SUM(U14:$AE14))*($L14+$M14))</f>
        <v>12880.844789999999</v>
      </c>
      <c r="V15" s="294">
        <f>((SUM(V14:$AE14))*($L14+$M14))</f>
        <v>11807.44184977769</v>
      </c>
      <c r="W15" s="294">
        <f>((SUM(W14:$AE14))*($L14+$M14))</f>
        <v>10734.03890955538</v>
      </c>
      <c r="X15" s="294">
        <f>((SUM(X14:$AE14))*($L14+$M14))</f>
        <v>9660.6356467553815</v>
      </c>
      <c r="Y15" s="294">
        <f>((SUM(Y14:$AE14))*($L14+$M14))</f>
        <v>8587.2327065330719</v>
      </c>
      <c r="Z15" s="294">
        <f>((SUM(Z14:$AE14))*($L14+$M14))</f>
        <v>7513.8297663107624</v>
      </c>
      <c r="AA15" s="294">
        <f>((SUM(AA14:$AE14))*($L14+$M14))</f>
        <v>6440.4268260884519</v>
      </c>
      <c r="AB15" s="294">
        <f>((SUM(AB14:$AE14))*($L14+$M14))</f>
        <v>5367.0238858661423</v>
      </c>
      <c r="AC15" s="294">
        <f>((SUM(AC14:$AE14))*($L14+$M14))</f>
        <v>4293.6209456438328</v>
      </c>
      <c r="AD15" s="294">
        <f>((SUM(AD14:$AE14))*($L14+$M14))</f>
        <v>3220.2180054215237</v>
      </c>
      <c r="AE15" s="294">
        <f>((SUM(AE14:$AE14))*($L14+$M14))*3</f>
        <v>6440.4451955976419</v>
      </c>
      <c r="AF15" s="295">
        <f t="shared" si="0"/>
        <v>51523.432978216799</v>
      </c>
      <c r="AG15" s="278"/>
      <c r="AH15" s="278"/>
    </row>
    <row r="16" spans="1:42" s="279" customFormat="1" x14ac:dyDescent="0.2">
      <c r="A16" s="258">
        <v>4</v>
      </c>
      <c r="B16" s="259" t="s">
        <v>705</v>
      </c>
      <c r="C16" s="260" t="s">
        <v>706</v>
      </c>
      <c r="D16" s="313" t="s">
        <v>707</v>
      </c>
      <c r="E16" s="314">
        <v>2012</v>
      </c>
      <c r="F16" s="300">
        <v>41604</v>
      </c>
      <c r="G16" s="315" t="s">
        <v>708</v>
      </c>
      <c r="H16" s="264">
        <v>366106</v>
      </c>
      <c r="I16" s="265">
        <f>H16/0.702804</f>
        <v>520921.90710354527</v>
      </c>
      <c r="J16" s="264">
        <f>H16</f>
        <v>366106</v>
      </c>
      <c r="K16" s="266">
        <f>J16/0.702804</f>
        <v>520921.90710354527</v>
      </c>
      <c r="L16" s="267">
        <f>0.055%+$L$7</f>
        <v>1.7129999999999999E-2</v>
      </c>
      <c r="M16" s="268">
        <f>M7</f>
        <v>2.5000000000000001E-3</v>
      </c>
      <c r="N16" s="269">
        <v>4</v>
      </c>
      <c r="O16" s="270"/>
      <c r="P16" s="271">
        <v>0</v>
      </c>
      <c r="Q16" s="272">
        <v>520922</v>
      </c>
      <c r="R16" s="273">
        <v>463059</v>
      </c>
      <c r="S16" s="274" t="s">
        <v>693</v>
      </c>
      <c r="T16" s="275">
        <v>231528</v>
      </c>
      <c r="U16" s="276">
        <v>57882.425256543786</v>
      </c>
      <c r="V16" s="276">
        <v>57882.425256543786</v>
      </c>
      <c r="W16" s="276">
        <v>57882.44</v>
      </c>
      <c r="X16" s="276">
        <v>57881</v>
      </c>
      <c r="Y16" s="316">
        <v>0</v>
      </c>
      <c r="Z16" s="316">
        <v>0</v>
      </c>
      <c r="AA16" s="316">
        <v>0</v>
      </c>
      <c r="AB16" s="316">
        <v>0</v>
      </c>
      <c r="AC16" s="316">
        <v>0</v>
      </c>
      <c r="AD16" s="316">
        <v>0</v>
      </c>
      <c r="AE16" s="316">
        <v>0</v>
      </c>
      <c r="AF16" s="317">
        <f t="shared" si="0"/>
        <v>57881</v>
      </c>
      <c r="AG16" s="278"/>
      <c r="AH16" s="278"/>
    </row>
    <row r="17" spans="1:34" s="296" customFormat="1" ht="15.75" thickBot="1" x14ac:dyDescent="0.3">
      <c r="A17" s="280"/>
      <c r="B17" s="281" t="s">
        <v>709</v>
      </c>
      <c r="C17" s="282"/>
      <c r="D17" s="282"/>
      <c r="E17" s="283"/>
      <c r="F17" s="284"/>
      <c r="G17" s="285"/>
      <c r="H17" s="286"/>
      <c r="I17" s="318"/>
      <c r="J17" s="319"/>
      <c r="K17" s="320"/>
      <c r="L17" s="282"/>
      <c r="M17" s="282"/>
      <c r="N17" s="282"/>
      <c r="O17" s="289"/>
      <c r="P17" s="288"/>
      <c r="Q17" s="311"/>
      <c r="R17" s="312"/>
      <c r="S17" s="292" t="s">
        <v>695</v>
      </c>
      <c r="T17" s="293"/>
      <c r="U17" s="294">
        <f>((SUM(U16:$AE16))*($L16+$M16))</f>
        <v>4544.900342771909</v>
      </c>
      <c r="V17" s="294">
        <f>((SUM(V16:$AE16))*($L16+$M16))</f>
        <v>3408.6683349859545</v>
      </c>
      <c r="W17" s="294">
        <f>((SUM(W16:$AE16))*($L16+$M16))</f>
        <v>2272.4363272000001</v>
      </c>
      <c r="X17" s="294">
        <f>((SUM(X16:$AE16))*($L16+$M16))</f>
        <v>1136.2040299999999</v>
      </c>
      <c r="Y17" s="321">
        <f>((SUM(Y16:$AE16))*($L16+$M16))</f>
        <v>0</v>
      </c>
      <c r="Z17" s="321">
        <f>((SUM(Z16:$AE16))*($L16+$M16))</f>
        <v>0</v>
      </c>
      <c r="AA17" s="321">
        <f>((SUM(AA16:$AE16))*($L16+$M16))</f>
        <v>0</v>
      </c>
      <c r="AB17" s="321">
        <f>((SUM(AB16:$AE16))*($L16+$M16))</f>
        <v>0</v>
      </c>
      <c r="AC17" s="321">
        <f>((SUM(AC16:$AE16))*($L16+$M16))</f>
        <v>0</v>
      </c>
      <c r="AD17" s="321">
        <f>((SUM(AD16:$AE16))*($L16+$M16))</f>
        <v>0</v>
      </c>
      <c r="AE17" s="321">
        <f>((SUM(AE16:$AE16))*($L16+$M16))</f>
        <v>0</v>
      </c>
      <c r="AF17" s="295">
        <f t="shared" si="0"/>
        <v>1136.2040299999999</v>
      </c>
      <c r="AG17" s="278"/>
      <c r="AH17" s="278"/>
    </row>
    <row r="18" spans="1:34" s="339" customFormat="1" x14ac:dyDescent="0.2">
      <c r="A18" s="258">
        <v>5</v>
      </c>
      <c r="B18" s="259" t="s">
        <v>710</v>
      </c>
      <c r="C18" s="322" t="s">
        <v>711</v>
      </c>
      <c r="D18" s="323" t="s">
        <v>712</v>
      </c>
      <c r="E18" s="324" t="s">
        <v>713</v>
      </c>
      <c r="F18" s="325" t="s">
        <v>713</v>
      </c>
      <c r="G18" s="326" t="s">
        <v>714</v>
      </c>
      <c r="H18" s="327"/>
      <c r="I18" s="328">
        <v>1925611</v>
      </c>
      <c r="J18" s="327"/>
      <c r="K18" s="329">
        <f>J18/0.702804</f>
        <v>0</v>
      </c>
      <c r="L18" s="267">
        <f>0.105%+$L$7</f>
        <v>1.763E-2</v>
      </c>
      <c r="M18" s="330">
        <f>M7</f>
        <v>2.5000000000000001E-3</v>
      </c>
      <c r="N18" s="331">
        <v>4</v>
      </c>
      <c r="O18" s="332"/>
      <c r="P18" s="333">
        <v>0</v>
      </c>
      <c r="Q18" s="334"/>
      <c r="R18" s="335"/>
      <c r="S18" s="336" t="s">
        <v>693</v>
      </c>
      <c r="T18" s="337">
        <v>1660050</v>
      </c>
      <c r="U18" s="338">
        <v>132804</v>
      </c>
      <c r="V18" s="338">
        <v>132804</v>
      </c>
      <c r="W18" s="338">
        <v>132804</v>
      </c>
      <c r="X18" s="338">
        <v>132804</v>
      </c>
      <c r="Y18" s="338">
        <v>132804</v>
      </c>
      <c r="Z18" s="338">
        <v>132804</v>
      </c>
      <c r="AA18" s="338">
        <v>132804</v>
      </c>
      <c r="AB18" s="338">
        <v>132804</v>
      </c>
      <c r="AC18" s="338">
        <v>132804</v>
      </c>
      <c r="AD18" s="338">
        <v>132804</v>
      </c>
      <c r="AE18" s="338">
        <v>332010</v>
      </c>
      <c r="AF18" s="277">
        <f t="shared" si="0"/>
        <v>1261638</v>
      </c>
      <c r="AG18" s="278"/>
      <c r="AH18" s="278"/>
    </row>
    <row r="19" spans="1:34" s="354" customFormat="1" ht="15.75" thickBot="1" x14ac:dyDescent="0.3">
      <c r="A19" s="280"/>
      <c r="B19" s="281" t="s">
        <v>715</v>
      </c>
      <c r="C19" s="340"/>
      <c r="D19" s="340"/>
      <c r="E19" s="341"/>
      <c r="F19" s="342"/>
      <c r="G19" s="343"/>
      <c r="H19" s="344"/>
      <c r="I19" s="345"/>
      <c r="J19" s="346"/>
      <c r="K19" s="347"/>
      <c r="L19" s="340"/>
      <c r="M19" s="340"/>
      <c r="N19" s="340"/>
      <c r="O19" s="348"/>
      <c r="P19" s="349"/>
      <c r="Q19" s="350"/>
      <c r="R19" s="351"/>
      <c r="S19" s="352" t="s">
        <v>695</v>
      </c>
      <c r="T19" s="353"/>
      <c r="U19" s="294">
        <f>((SUM(U18:$AE18))*($L18+$M18))</f>
        <v>33416.806499999999</v>
      </c>
      <c r="V19" s="294">
        <f>((SUM(V18:$AE18))*($L18+$M18))</f>
        <v>30743.461979999996</v>
      </c>
      <c r="W19" s="294">
        <f>((SUM(W18:$AE18))*($L18+$M18))</f>
        <v>28070.117459999998</v>
      </c>
      <c r="X19" s="294">
        <f>((SUM(X18:$AE18))*($L18+$M18))</f>
        <v>25396.772939999999</v>
      </c>
      <c r="Y19" s="294">
        <f>((SUM(Y18:$AE18))*($L18+$M18))</f>
        <v>22723.42842</v>
      </c>
      <c r="Z19" s="294">
        <f>((SUM(Z18:$AE18))*($L18+$M18))</f>
        <v>20050.083899999998</v>
      </c>
      <c r="AA19" s="294">
        <f>((SUM(AA18:$AE18))*($L18+$M18))</f>
        <v>17376.739379999999</v>
      </c>
      <c r="AB19" s="294">
        <f>((SUM(AB18:$AE18))*($L18+$M18))</f>
        <v>14703.394859999999</v>
      </c>
      <c r="AC19" s="294">
        <f>((SUM(AC18:$AE18))*($L18+$M18))</f>
        <v>12030.05034</v>
      </c>
      <c r="AD19" s="294">
        <f>((SUM(AD18:$AE18))*($L18+$M18))</f>
        <v>9356.7058199999992</v>
      </c>
      <c r="AE19" s="294">
        <f>((SUM(AE18:$AE18))*($L18+$M18))*3</f>
        <v>20050.083899999998</v>
      </c>
      <c r="AF19" s="295">
        <f t="shared" si="0"/>
        <v>141687.25956000001</v>
      </c>
      <c r="AG19" s="278"/>
      <c r="AH19" s="278"/>
    </row>
    <row r="20" spans="1:34" s="279" customFormat="1" x14ac:dyDescent="0.2">
      <c r="A20" s="258">
        <v>6</v>
      </c>
      <c r="B20" s="259" t="s">
        <v>716</v>
      </c>
      <c r="C20" s="322" t="s">
        <v>717</v>
      </c>
      <c r="D20" s="323" t="s">
        <v>718</v>
      </c>
      <c r="E20" s="355" t="s">
        <v>719</v>
      </c>
      <c r="F20" s="355" t="s">
        <v>719</v>
      </c>
      <c r="G20" s="356" t="s">
        <v>720</v>
      </c>
      <c r="H20" s="264"/>
      <c r="I20" s="265">
        <v>154450.12</v>
      </c>
      <c r="J20" s="264"/>
      <c r="K20" s="266">
        <f>J20/0.702804</f>
        <v>0</v>
      </c>
      <c r="L20" s="267">
        <f>0.055%+$L$7</f>
        <v>1.7129999999999999E-2</v>
      </c>
      <c r="M20" s="268">
        <f>M7</f>
        <v>2.5000000000000001E-3</v>
      </c>
      <c r="N20" s="269">
        <v>4</v>
      </c>
      <c r="O20" s="270"/>
      <c r="P20" s="271">
        <v>0</v>
      </c>
      <c r="Q20" s="272"/>
      <c r="R20" s="273"/>
      <c r="S20" s="274" t="s">
        <v>693</v>
      </c>
      <c r="T20" s="275">
        <v>133518</v>
      </c>
      <c r="U20" s="276">
        <v>10472</v>
      </c>
      <c r="V20" s="276">
        <v>10472</v>
      </c>
      <c r="W20" s="276">
        <v>10472</v>
      </c>
      <c r="X20" s="276">
        <v>10472</v>
      </c>
      <c r="Y20" s="276">
        <v>10472</v>
      </c>
      <c r="Z20" s="276">
        <v>10472</v>
      </c>
      <c r="AA20" s="276">
        <v>10472</v>
      </c>
      <c r="AB20" s="276">
        <v>10472</v>
      </c>
      <c r="AC20" s="276">
        <v>10472</v>
      </c>
      <c r="AD20" s="276">
        <v>10472</v>
      </c>
      <c r="AE20" s="276">
        <v>28798</v>
      </c>
      <c r="AF20" s="277">
        <f t="shared" si="0"/>
        <v>102102</v>
      </c>
      <c r="AG20" s="278"/>
      <c r="AH20" s="278"/>
    </row>
    <row r="21" spans="1:34" s="296" customFormat="1" ht="15.75" thickBot="1" x14ac:dyDescent="0.3">
      <c r="A21" s="280"/>
      <c r="B21" s="281" t="s">
        <v>721</v>
      </c>
      <c r="C21" s="282"/>
      <c r="D21" s="282"/>
      <c r="E21" s="283"/>
      <c r="F21" s="284"/>
      <c r="G21" s="285"/>
      <c r="H21" s="286"/>
      <c r="I21" s="318"/>
      <c r="J21" s="319"/>
      <c r="K21" s="320"/>
      <c r="L21" s="282"/>
      <c r="M21" s="282"/>
      <c r="N21" s="282"/>
      <c r="O21" s="289"/>
      <c r="P21" s="288"/>
      <c r="Q21" s="311"/>
      <c r="R21" s="312"/>
      <c r="S21" s="292" t="s">
        <v>695</v>
      </c>
      <c r="T21" s="293"/>
      <c r="U21" s="294">
        <f>((SUM(U20:$AE20))*($L20+$M20))</f>
        <v>2620.9583399999997</v>
      </c>
      <c r="V21" s="294">
        <f>((SUM(V20:$AE20))*($L20+$M20))</f>
        <v>2415.3929799999996</v>
      </c>
      <c r="W21" s="294">
        <f>((SUM(W20:$AE20))*($L20+$M20))</f>
        <v>2209.8276199999996</v>
      </c>
      <c r="X21" s="294">
        <f>((SUM(X20:$AE20))*($L20+$M20))</f>
        <v>2004.2622599999997</v>
      </c>
      <c r="Y21" s="294">
        <f>((SUM(Y20:$AE20))*($L20+$M20))</f>
        <v>1798.6968999999999</v>
      </c>
      <c r="Z21" s="294">
        <f>((SUM(Z20:$AE20))*($L20+$M20))</f>
        <v>1593.1315399999999</v>
      </c>
      <c r="AA21" s="294">
        <f>((SUM(AA20:$AE20))*($L20+$M20))</f>
        <v>1387.5661799999998</v>
      </c>
      <c r="AB21" s="294">
        <f>((SUM(AB20:$AE20))*($L20+$M20))</f>
        <v>1182.00082</v>
      </c>
      <c r="AC21" s="294">
        <f>((SUM(AC20:$AE20))*($L20+$M20))</f>
        <v>976.43545999999992</v>
      </c>
      <c r="AD21" s="294">
        <f>((SUM(AD20:$AE20))*($L20+$M20))</f>
        <v>770.87009999999998</v>
      </c>
      <c r="AE21" s="294">
        <f>((SUM(AE20:$AE20))*($L20+$M20))*3</f>
        <v>1695.9142199999997</v>
      </c>
      <c r="AF21" s="295">
        <f t="shared" si="0"/>
        <v>11408.877479999999</v>
      </c>
      <c r="AG21" s="278"/>
      <c r="AH21" s="278"/>
    </row>
    <row r="22" spans="1:34" s="296" customFormat="1" ht="15" x14ac:dyDescent="0.25">
      <c r="A22" s="297">
        <v>7</v>
      </c>
      <c r="B22" s="298" t="s">
        <v>722</v>
      </c>
      <c r="C22" s="303" t="s">
        <v>723</v>
      </c>
      <c r="D22" s="303" t="s">
        <v>724</v>
      </c>
      <c r="E22" s="357" t="s">
        <v>725</v>
      </c>
      <c r="F22" s="358" t="s">
        <v>725</v>
      </c>
      <c r="G22" s="356" t="s">
        <v>726</v>
      </c>
      <c r="H22" s="301"/>
      <c r="I22" s="359">
        <f>46627+88266</f>
        <v>134893</v>
      </c>
      <c r="J22" s="360"/>
      <c r="K22" s="320"/>
      <c r="L22" s="267">
        <f>0.055%+$L$7</f>
        <v>1.7129999999999999E-2</v>
      </c>
      <c r="M22" s="268">
        <f>M7</f>
        <v>2.5000000000000001E-3</v>
      </c>
      <c r="N22" s="303"/>
      <c r="O22" s="304"/>
      <c r="P22" s="305"/>
      <c r="Q22" s="361"/>
      <c r="R22" s="362"/>
      <c r="S22" s="274" t="s">
        <v>693</v>
      </c>
      <c r="T22" s="363">
        <v>89936</v>
      </c>
      <c r="U22" s="364">
        <v>25696</v>
      </c>
      <c r="V22" s="364">
        <v>25696</v>
      </c>
      <c r="W22" s="364">
        <v>25696</v>
      </c>
      <c r="X22" s="364">
        <v>12848</v>
      </c>
      <c r="Y22" s="316">
        <v>0</v>
      </c>
      <c r="Z22" s="316">
        <v>0</v>
      </c>
      <c r="AA22" s="316">
        <v>0</v>
      </c>
      <c r="AB22" s="316">
        <v>0</v>
      </c>
      <c r="AC22" s="316">
        <v>0</v>
      </c>
      <c r="AD22" s="316">
        <v>0</v>
      </c>
      <c r="AE22" s="316">
        <v>0</v>
      </c>
      <c r="AF22" s="277">
        <f t="shared" si="0"/>
        <v>12848</v>
      </c>
      <c r="AG22" s="278"/>
      <c r="AH22" s="365"/>
    </row>
    <row r="23" spans="1:34" s="296" customFormat="1" ht="15.75" thickBot="1" x14ac:dyDescent="0.3">
      <c r="A23" s="280"/>
      <c r="B23" s="281"/>
      <c r="C23" s="282"/>
      <c r="D23" s="282"/>
      <c r="E23" s="283"/>
      <c r="F23" s="284" t="s">
        <v>727</v>
      </c>
      <c r="G23" s="285"/>
      <c r="H23" s="286"/>
      <c r="I23" s="287" t="s">
        <v>728</v>
      </c>
      <c r="J23" s="366"/>
      <c r="K23" s="367"/>
      <c r="L23" s="282"/>
      <c r="M23" s="282"/>
      <c r="N23" s="282"/>
      <c r="O23" s="289"/>
      <c r="P23" s="288"/>
      <c r="Q23" s="311"/>
      <c r="R23" s="312"/>
      <c r="S23" s="292" t="s">
        <v>695</v>
      </c>
      <c r="T23" s="293"/>
      <c r="U23" s="294">
        <f>((SUM(U22:$AE22))*($L22+$M22))</f>
        <v>1765.4436799999999</v>
      </c>
      <c r="V23" s="294">
        <f>((SUM(V22:$AE22))*($L22+$M22))</f>
        <v>1261.0311999999999</v>
      </c>
      <c r="W23" s="294">
        <f>((SUM(W22:$AE22))*($L22+$M22))</f>
        <v>756.61871999999994</v>
      </c>
      <c r="X23" s="294">
        <f>((SUM(X22:$AE22))*($L22+$M22))</f>
        <v>252.20623999999998</v>
      </c>
      <c r="Y23" s="321">
        <f>((SUM(Y22:$AE22))*($L22+$M22))</f>
        <v>0</v>
      </c>
      <c r="Z23" s="321">
        <f>((SUM(Z22:$AE22))*($L22+$M22))</f>
        <v>0</v>
      </c>
      <c r="AA23" s="321">
        <f>((SUM(AA22:$AE22))*($L22+$M22))</f>
        <v>0</v>
      </c>
      <c r="AB23" s="321">
        <f>((SUM(AB22:$AE22))*($L22+$M22))</f>
        <v>0</v>
      </c>
      <c r="AC23" s="321">
        <f>((SUM(AC22:$AE22))*($L22+$M22))</f>
        <v>0</v>
      </c>
      <c r="AD23" s="321">
        <f>((SUM(AD22:$AE22))*($L22+$M22))</f>
        <v>0</v>
      </c>
      <c r="AE23" s="321">
        <f>((SUM(AE22:$AE22))*($L22+$M22))</f>
        <v>0</v>
      </c>
      <c r="AF23" s="295">
        <f t="shared" si="0"/>
        <v>252.20623999999998</v>
      </c>
      <c r="AG23" s="278"/>
      <c r="AH23" s="278"/>
    </row>
    <row r="24" spans="1:34" s="279" customFormat="1" ht="13.5" hidden="1" outlineLevel="1" thickBot="1" x14ac:dyDescent="0.25">
      <c r="A24" s="368"/>
      <c r="B24" s="259" t="s">
        <v>729</v>
      </c>
      <c r="C24" s="260" t="s">
        <v>730</v>
      </c>
      <c r="D24" s="313" t="s">
        <v>731</v>
      </c>
      <c r="E24" s="300" t="s">
        <v>732</v>
      </c>
      <c r="F24" s="300" t="s">
        <v>732</v>
      </c>
      <c r="G24" s="356" t="s">
        <v>733</v>
      </c>
      <c r="H24" s="264"/>
      <c r="I24" s="265">
        <v>330753</v>
      </c>
      <c r="J24" s="264"/>
      <c r="K24" s="266">
        <f>J24/0.702804</f>
        <v>0</v>
      </c>
      <c r="L24" s="369">
        <f>0.101%+L7</f>
        <v>1.7590000000000001E-2</v>
      </c>
      <c r="M24" s="268">
        <f>M7</f>
        <v>2.5000000000000001E-3</v>
      </c>
      <c r="N24" s="269">
        <v>4</v>
      </c>
      <c r="O24" s="270"/>
      <c r="P24" s="271">
        <v>0</v>
      </c>
      <c r="Q24" s="272"/>
      <c r="R24" s="273"/>
      <c r="S24" s="274" t="s">
        <v>693</v>
      </c>
      <c r="T24" s="275">
        <v>164592</v>
      </c>
      <c r="U24" s="276">
        <v>82296</v>
      </c>
      <c r="V24" s="276">
        <v>82296</v>
      </c>
      <c r="W24" s="316">
        <v>0</v>
      </c>
      <c r="X24" s="316">
        <v>0</v>
      </c>
      <c r="Y24" s="316">
        <v>0</v>
      </c>
      <c r="Z24" s="316">
        <v>0</v>
      </c>
      <c r="AA24" s="316">
        <v>0</v>
      </c>
      <c r="AB24" s="316">
        <v>0</v>
      </c>
      <c r="AC24" s="316">
        <v>0</v>
      </c>
      <c r="AD24" s="316">
        <v>0</v>
      </c>
      <c r="AE24" s="316">
        <v>0</v>
      </c>
      <c r="AF24" s="277">
        <f t="shared" si="0"/>
        <v>0</v>
      </c>
      <c r="AG24" s="278"/>
      <c r="AH24" s="278"/>
    </row>
    <row r="25" spans="1:34" s="296" customFormat="1" ht="15.75" hidden="1" outlineLevel="1" thickBot="1" x14ac:dyDescent="0.3">
      <c r="A25" s="280"/>
      <c r="B25" s="370" t="s">
        <v>734</v>
      </c>
      <c r="C25" s="282"/>
      <c r="D25" s="282"/>
      <c r="E25" s="283"/>
      <c r="F25" s="284"/>
      <c r="G25" s="285"/>
      <c r="H25" s="286"/>
      <c r="I25" s="318"/>
      <c r="J25" s="319"/>
      <c r="K25" s="320"/>
      <c r="L25" s="282"/>
      <c r="M25" s="282"/>
      <c r="N25" s="282"/>
      <c r="O25" s="289"/>
      <c r="P25" s="288"/>
      <c r="Q25" s="311"/>
      <c r="R25" s="312"/>
      <c r="S25" s="292" t="s">
        <v>695</v>
      </c>
      <c r="T25" s="293"/>
      <c r="U25" s="294">
        <f>((SUM(U24:$AE24))*($L24+$M24))</f>
        <v>3306.65328</v>
      </c>
      <c r="V25" s="294">
        <f>((SUM(V24:$AE24))*($L24+$M24))</f>
        <v>1653.32664</v>
      </c>
      <c r="W25" s="321">
        <f>((SUM(W24:$AE24))*($L24+$M24))</f>
        <v>0</v>
      </c>
      <c r="X25" s="321">
        <f>((SUM(X24:$AE24))*($L24+$M24))</f>
        <v>0</v>
      </c>
      <c r="Y25" s="321">
        <f>((SUM(Y24:$AE24))*($L24+$M24))</f>
        <v>0</v>
      </c>
      <c r="Z25" s="321">
        <f>((SUM(Z24:$AE24))*($L24+$M24))</f>
        <v>0</v>
      </c>
      <c r="AA25" s="321">
        <f>((SUM(AA24:$AE24))*($L24+$M24))</f>
        <v>0</v>
      </c>
      <c r="AB25" s="321">
        <f>((SUM(AB24:$AE24))*($L24+$M24))</f>
        <v>0</v>
      </c>
      <c r="AC25" s="321">
        <f>((SUM(AC24:$AE24))*($L24+$M24))</f>
        <v>0</v>
      </c>
      <c r="AD25" s="321">
        <f>((SUM(AD24:$AE24))*($L24+$M24))</f>
        <v>0</v>
      </c>
      <c r="AE25" s="321">
        <f>((SUM(AE24:$AE24))*($L24+$M24))</f>
        <v>0</v>
      </c>
      <c r="AF25" s="295">
        <f t="shared" si="0"/>
        <v>0</v>
      </c>
      <c r="AG25" s="278"/>
      <c r="AH25" s="278"/>
    </row>
    <row r="26" spans="1:34" s="296" customFormat="1" ht="13.5" hidden="1" outlineLevel="1" thickBot="1" x14ac:dyDescent="0.25">
      <c r="A26" s="368" t="s">
        <v>109</v>
      </c>
      <c r="B26" s="298" t="s">
        <v>729</v>
      </c>
      <c r="C26" s="303" t="s">
        <v>735</v>
      </c>
      <c r="D26" s="303" t="s">
        <v>736</v>
      </c>
      <c r="E26" s="358" t="s">
        <v>737</v>
      </c>
      <c r="F26" s="358" t="s">
        <v>737</v>
      </c>
      <c r="G26" s="356" t="s">
        <v>738</v>
      </c>
      <c r="H26" s="301"/>
      <c r="I26" s="359">
        <v>32850</v>
      </c>
      <c r="J26" s="301"/>
      <c r="K26" s="320"/>
      <c r="L26" s="369">
        <f>0.101%+L7</f>
        <v>1.7590000000000001E-2</v>
      </c>
      <c r="M26" s="268">
        <f>M7</f>
        <v>2.5000000000000001E-3</v>
      </c>
      <c r="N26" s="303"/>
      <c r="O26" s="304"/>
      <c r="P26" s="305"/>
      <c r="Q26" s="361"/>
      <c r="R26" s="362"/>
      <c r="S26" s="306" t="s">
        <v>693</v>
      </c>
      <c r="T26" s="371">
        <v>20075</v>
      </c>
      <c r="U26" s="364">
        <v>7300</v>
      </c>
      <c r="V26" s="364">
        <v>7300</v>
      </c>
      <c r="W26" s="364">
        <v>5475</v>
      </c>
      <c r="X26" s="316">
        <v>0</v>
      </c>
      <c r="Y26" s="316">
        <v>0</v>
      </c>
      <c r="Z26" s="316">
        <v>0</v>
      </c>
      <c r="AA26" s="316">
        <v>0</v>
      </c>
      <c r="AB26" s="316">
        <v>0</v>
      </c>
      <c r="AC26" s="316">
        <v>0</v>
      </c>
      <c r="AD26" s="316">
        <v>0</v>
      </c>
      <c r="AE26" s="316">
        <v>0</v>
      </c>
      <c r="AF26" s="277">
        <f t="shared" si="0"/>
        <v>0</v>
      </c>
      <c r="AG26" s="278"/>
      <c r="AH26" s="278"/>
    </row>
    <row r="27" spans="1:34" s="296" customFormat="1" ht="15.75" hidden="1" outlineLevel="1" thickBot="1" x14ac:dyDescent="0.3">
      <c r="A27" s="280"/>
      <c r="B27" s="370" t="s">
        <v>739</v>
      </c>
      <c r="C27" s="282"/>
      <c r="D27" s="282"/>
      <c r="E27" s="283"/>
      <c r="F27" s="284"/>
      <c r="G27" s="285"/>
      <c r="H27" s="286"/>
      <c r="I27" s="287"/>
      <c r="J27" s="366"/>
      <c r="K27" s="367"/>
      <c r="L27" s="282"/>
      <c r="M27" s="282"/>
      <c r="N27" s="282"/>
      <c r="O27" s="289"/>
      <c r="P27" s="288"/>
      <c r="Q27" s="311"/>
      <c r="R27" s="312"/>
      <c r="S27" s="292" t="s">
        <v>695</v>
      </c>
      <c r="T27" s="293"/>
      <c r="U27" s="294">
        <f>((SUM(U26:$AE26))*($L26+$M26))</f>
        <v>403.30675000000002</v>
      </c>
      <c r="V27" s="294">
        <f>((SUM(V26:$AE26))*($L26+$M26))</f>
        <v>256.64974999999998</v>
      </c>
      <c r="W27" s="294">
        <f>((SUM(W26:$AE26))*($L26+$M26))</f>
        <v>109.99275</v>
      </c>
      <c r="X27" s="321">
        <f>((SUM(X26:$AE26))*($L26+$M26))</f>
        <v>0</v>
      </c>
      <c r="Y27" s="321">
        <f>((SUM(Y26:$AE26))*($L26+$M26))</f>
        <v>0</v>
      </c>
      <c r="Z27" s="321">
        <f>((SUM(Z26:$AE26))*($L26+$M26))</f>
        <v>0</v>
      </c>
      <c r="AA27" s="321">
        <f>((SUM(AA26:$AE26))*($L26+$M26))</f>
        <v>0</v>
      </c>
      <c r="AB27" s="321">
        <f>((SUM(AB26:$AE26))*($L26+$M26))</f>
        <v>0</v>
      </c>
      <c r="AC27" s="321">
        <f>((SUM(AC26:$AE26))*($L26+$M26))</f>
        <v>0</v>
      </c>
      <c r="AD27" s="321">
        <f>((SUM(AD26:$AE26))*($L26+$M26))</f>
        <v>0</v>
      </c>
      <c r="AE27" s="321">
        <f>((SUM(AE26:$AE26))*($L26+$M26))</f>
        <v>0</v>
      </c>
      <c r="AF27" s="295">
        <f t="shared" si="0"/>
        <v>0</v>
      </c>
      <c r="AG27" s="278"/>
      <c r="AH27" s="278"/>
    </row>
    <row r="28" spans="1:34" s="296" customFormat="1" collapsed="1" x14ac:dyDescent="0.2">
      <c r="A28" s="297" t="s">
        <v>114</v>
      </c>
      <c r="B28" s="259" t="s">
        <v>729</v>
      </c>
      <c r="C28" s="269" t="s">
        <v>740</v>
      </c>
      <c r="D28" s="269" t="s">
        <v>741</v>
      </c>
      <c r="E28" s="372" t="s">
        <v>742</v>
      </c>
      <c r="F28" s="372" t="s">
        <v>742</v>
      </c>
      <c r="G28" s="373" t="s">
        <v>743</v>
      </c>
      <c r="H28" s="264"/>
      <c r="I28" s="374">
        <v>11123368</v>
      </c>
      <c r="J28" s="264"/>
      <c r="K28" s="266">
        <f>J28/0.702804</f>
        <v>0</v>
      </c>
      <c r="L28" s="369">
        <f>0.055%+$L$7</f>
        <v>1.7129999999999999E-2</v>
      </c>
      <c r="M28" s="268">
        <f>M7</f>
        <v>2.5000000000000001E-3</v>
      </c>
      <c r="N28" s="269">
        <v>4</v>
      </c>
      <c r="O28" s="270"/>
      <c r="P28" s="271">
        <v>0</v>
      </c>
      <c r="Q28" s="272"/>
      <c r="R28" s="273"/>
      <c r="S28" s="274" t="s">
        <v>693</v>
      </c>
      <c r="T28" s="275">
        <v>10791159</v>
      </c>
      <c r="U28" s="276">
        <v>0</v>
      </c>
      <c r="V28" s="276">
        <v>824409</v>
      </c>
      <c r="W28" s="276">
        <v>379984</v>
      </c>
      <c r="X28" s="276">
        <v>379984</v>
      </c>
      <c r="Y28" s="375">
        <v>379984</v>
      </c>
      <c r="Z28" s="276">
        <v>379984</v>
      </c>
      <c r="AA28" s="276">
        <v>379984</v>
      </c>
      <c r="AB28" s="276">
        <v>379984</v>
      </c>
      <c r="AC28" s="276">
        <v>379984</v>
      </c>
      <c r="AD28" s="276">
        <v>379984</v>
      </c>
      <c r="AE28" s="276">
        <v>6926878</v>
      </c>
      <c r="AF28" s="277">
        <f t="shared" si="0"/>
        <v>9586766</v>
      </c>
      <c r="AG28" s="278"/>
      <c r="AH28" s="278"/>
    </row>
    <row r="29" spans="1:34" s="296" customFormat="1" ht="15.75" thickBot="1" x14ac:dyDescent="0.3">
      <c r="A29" s="280"/>
      <c r="B29" s="370" t="s">
        <v>744</v>
      </c>
      <c r="C29" s="282" t="s">
        <v>745</v>
      </c>
      <c r="D29" s="282"/>
      <c r="E29" s="283"/>
      <c r="F29" s="284"/>
      <c r="G29" s="285"/>
      <c r="H29" s="286"/>
      <c r="I29" s="318"/>
      <c r="J29" s="366"/>
      <c r="K29" s="367"/>
      <c r="L29" s="282"/>
      <c r="M29" s="282"/>
      <c r="N29" s="282"/>
      <c r="O29" s="289"/>
      <c r="P29" s="288"/>
      <c r="Q29" s="311"/>
      <c r="R29" s="312"/>
      <c r="S29" s="292" t="s">
        <v>695</v>
      </c>
      <c r="T29" s="293"/>
      <c r="U29" s="376"/>
      <c r="V29" s="294">
        <f>((SUM(V28:$AE28))*($L28+$M28))</f>
        <v>211830.45116999999</v>
      </c>
      <c r="W29" s="294">
        <f>((SUM(W28:$AE28))*($L28+$M28))</f>
        <v>195647.30249999999</v>
      </c>
      <c r="X29" s="294">
        <f>((SUM(X28:$AE28))*($L28+$M28))</f>
        <v>188188.21657999998</v>
      </c>
      <c r="Y29" s="294">
        <f>((SUM(Y28:$AE28))*($L28+$M28))</f>
        <v>180729.13066</v>
      </c>
      <c r="Z29" s="294">
        <f>((SUM(Z28:$AE28))*($L28+$M28))</f>
        <v>173270.04473999998</v>
      </c>
      <c r="AA29" s="294">
        <f>((SUM(AA28:$AE28))*($L28+$M28))</f>
        <v>165810.95881999997</v>
      </c>
      <c r="AB29" s="294">
        <f>((SUM(AB28:$AE28))*($L28+$M28))</f>
        <v>158351.87289999999</v>
      </c>
      <c r="AC29" s="294">
        <f>((SUM(AC28:$AE28))*($L28+$M28))</f>
        <v>150892.78697999998</v>
      </c>
      <c r="AD29" s="294">
        <f>((SUM(AD28:$AE28))*($L28+$M28))</f>
        <v>143433.70105999999</v>
      </c>
      <c r="AE29" s="294">
        <f>((SUM(AE28:$AE28))*($L28+$M28))*18</f>
        <v>2447543.0725199995</v>
      </c>
      <c r="AF29" s="295">
        <f t="shared" si="0"/>
        <v>3608219.7842599992</v>
      </c>
      <c r="AG29" s="278"/>
      <c r="AH29" s="278"/>
    </row>
    <row r="30" spans="1:34" s="296" customFormat="1" x14ac:dyDescent="0.2">
      <c r="A30" s="258" t="s">
        <v>116</v>
      </c>
      <c r="B30" s="259" t="s">
        <v>729</v>
      </c>
      <c r="C30" s="269" t="s">
        <v>746</v>
      </c>
      <c r="D30" s="269" t="s">
        <v>747</v>
      </c>
      <c r="E30" s="377"/>
      <c r="F30" s="372" t="s">
        <v>748</v>
      </c>
      <c r="G30" s="373" t="s">
        <v>749</v>
      </c>
      <c r="H30" s="264"/>
      <c r="I30" s="374">
        <f>2405442+170925.8</f>
        <v>2576367.7999999998</v>
      </c>
      <c r="J30" s="264"/>
      <c r="K30" s="266">
        <f>J30/0.702804</f>
        <v>0</v>
      </c>
      <c r="L30" s="267">
        <f>0.105%+$L$7</f>
        <v>1.763E-2</v>
      </c>
      <c r="M30" s="268">
        <f>M7</f>
        <v>2.5000000000000001E-3</v>
      </c>
      <c r="N30" s="269">
        <v>4</v>
      </c>
      <c r="O30" s="270"/>
      <c r="P30" s="271">
        <v>0</v>
      </c>
      <c r="Q30" s="272"/>
      <c r="R30" s="273"/>
      <c r="S30" s="274" t="s">
        <v>693</v>
      </c>
      <c r="T30" s="276"/>
      <c r="U30" s="276">
        <v>0</v>
      </c>
      <c r="V30" s="276">
        <v>23994</v>
      </c>
      <c r="W30" s="276">
        <v>96316</v>
      </c>
      <c r="X30" s="276">
        <v>89924</v>
      </c>
      <c r="Y30" s="276">
        <v>89924</v>
      </c>
      <c r="Z30" s="276">
        <v>89924</v>
      </c>
      <c r="AA30" s="276">
        <v>96316</v>
      </c>
      <c r="AB30" s="276">
        <v>96316</v>
      </c>
      <c r="AC30" s="276">
        <v>96316</v>
      </c>
      <c r="AD30" s="276">
        <v>96316</v>
      </c>
      <c r="AE30" s="276">
        <v>1801021.7999999998</v>
      </c>
      <c r="AF30" s="277">
        <f t="shared" si="0"/>
        <v>2456057.7999999998</v>
      </c>
      <c r="AG30" s="278"/>
      <c r="AH30" s="278"/>
    </row>
    <row r="31" spans="1:34" s="296" customFormat="1" ht="15.75" thickBot="1" x14ac:dyDescent="0.3">
      <c r="A31" s="280"/>
      <c r="B31" s="370" t="s">
        <v>750</v>
      </c>
      <c r="C31" s="282"/>
      <c r="D31" s="282"/>
      <c r="E31" s="283"/>
      <c r="F31" s="284"/>
      <c r="G31" s="285"/>
      <c r="H31" s="286"/>
      <c r="I31" s="318"/>
      <c r="J31" s="366"/>
      <c r="K31" s="367"/>
      <c r="L31" s="378" t="s">
        <v>751</v>
      </c>
      <c r="M31" s="282"/>
      <c r="N31" s="282"/>
      <c r="O31" s="289"/>
      <c r="P31" s="288"/>
      <c r="Q31" s="311"/>
      <c r="R31" s="312"/>
      <c r="S31" s="292" t="s">
        <v>695</v>
      </c>
      <c r="T31" s="376"/>
      <c r="U31" s="294">
        <v>4191</v>
      </c>
      <c r="V31" s="294">
        <v>10135</v>
      </c>
      <c r="W31" s="294">
        <f>((SUM(W30:$AE30))*($L30+$M30))</f>
        <v>51379.28459399999</v>
      </c>
      <c r="X31" s="294">
        <f>((SUM(X30:$AE30))*($L30+$M30))</f>
        <v>49440.443513999991</v>
      </c>
      <c r="Y31" s="294">
        <f>((SUM(Y30:$AE30))*($L30+$M30))</f>
        <v>47630.273393999996</v>
      </c>
      <c r="Z31" s="294">
        <f>((SUM(Z30:$AE30))*($L30+$M30))</f>
        <v>45820.103273999994</v>
      </c>
      <c r="AA31" s="294">
        <f>((SUM(AA30:$AE30))*($L30+$M30))</f>
        <v>44009.933153999991</v>
      </c>
      <c r="AB31" s="294">
        <f>((SUM(AB30:$AE30))*($L30+$M30))</f>
        <v>42071.092073999993</v>
      </c>
      <c r="AC31" s="294">
        <f>((SUM(AC30:$AE30))*($L30+$M30))</f>
        <v>40132.250993999995</v>
      </c>
      <c r="AD31" s="294">
        <f>((SUM(AD30:$AE30))*($L30+$M30))</f>
        <v>38193.409913999996</v>
      </c>
      <c r="AE31" s="294">
        <f>((SUM(AE30:$AE30))*($L30+$M30))*18</f>
        <v>652582.2390119998</v>
      </c>
      <c r="AF31" s="295">
        <f t="shared" si="0"/>
        <v>959879.74532999983</v>
      </c>
      <c r="AG31" s="278"/>
      <c r="AH31" s="278"/>
    </row>
    <row r="32" spans="1:34" s="296" customFormat="1" ht="15" x14ac:dyDescent="0.25">
      <c r="A32" s="258">
        <v>9</v>
      </c>
      <c r="B32" s="259" t="s">
        <v>752</v>
      </c>
      <c r="C32" s="303" t="s">
        <v>753</v>
      </c>
      <c r="D32" s="303" t="s">
        <v>754</v>
      </c>
      <c r="E32" s="357"/>
      <c r="F32" s="269" t="s">
        <v>755</v>
      </c>
      <c r="G32" s="269" t="s">
        <v>756</v>
      </c>
      <c r="H32" s="301"/>
      <c r="I32" s="379">
        <v>166837</v>
      </c>
      <c r="J32" s="360"/>
      <c r="K32" s="320"/>
      <c r="L32" s="369">
        <f>0.101%+L7</f>
        <v>1.7590000000000001E-2</v>
      </c>
      <c r="M32" s="268">
        <f>M7</f>
        <v>2.5000000000000001E-3</v>
      </c>
      <c r="N32" s="269">
        <v>4</v>
      </c>
      <c r="O32" s="304"/>
      <c r="P32" s="305"/>
      <c r="Q32" s="361"/>
      <c r="R32" s="362"/>
      <c r="S32" s="274" t="s">
        <v>693</v>
      </c>
      <c r="T32" s="364"/>
      <c r="U32" s="364">
        <v>0</v>
      </c>
      <c r="V32" s="364">
        <v>0</v>
      </c>
      <c r="W32" s="364">
        <v>0</v>
      </c>
      <c r="X32" s="364">
        <v>37071</v>
      </c>
      <c r="Y32" s="364">
        <v>37076</v>
      </c>
      <c r="Z32" s="364">
        <v>37076</v>
      </c>
      <c r="AA32" s="364">
        <v>37076</v>
      </c>
      <c r="AB32" s="364">
        <v>18538</v>
      </c>
      <c r="AC32" s="316">
        <v>0</v>
      </c>
      <c r="AD32" s="316">
        <v>0</v>
      </c>
      <c r="AE32" s="316">
        <v>0</v>
      </c>
      <c r="AF32" s="277">
        <f t="shared" si="0"/>
        <v>166837</v>
      </c>
      <c r="AG32" s="278"/>
      <c r="AH32" s="278"/>
    </row>
    <row r="33" spans="1:120" s="296" customFormat="1" ht="15.75" thickBot="1" x14ac:dyDescent="0.3">
      <c r="A33" s="280"/>
      <c r="B33" s="370"/>
      <c r="C33" s="282"/>
      <c r="D33" s="282"/>
      <c r="E33" s="283"/>
      <c r="F33" s="282"/>
      <c r="G33" s="282"/>
      <c r="H33" s="286"/>
      <c r="I33" s="318"/>
      <c r="J33" s="360"/>
      <c r="K33" s="320"/>
      <c r="L33" s="282"/>
      <c r="M33" s="282"/>
      <c r="N33" s="282"/>
      <c r="O33" s="304"/>
      <c r="P33" s="305"/>
      <c r="Q33" s="361"/>
      <c r="R33" s="362"/>
      <c r="S33" s="292" t="s">
        <v>695</v>
      </c>
      <c r="T33" s="376"/>
      <c r="U33" s="294">
        <v>2000</v>
      </c>
      <c r="V33" s="376"/>
      <c r="W33" s="376"/>
      <c r="X33" s="294">
        <f>((SUM(X32:$AE32))*($L32+$M32))</f>
        <v>3351.75533</v>
      </c>
      <c r="Y33" s="294">
        <f>((SUM(Y32:$AE32))*($L32+$M32))</f>
        <v>2606.9989399999999</v>
      </c>
      <c r="Z33" s="294">
        <f>((SUM(Z32:$AE32))*($L32+$M32))</f>
        <v>1862.1421</v>
      </c>
      <c r="AA33" s="294">
        <f>((SUM(AA32:$AE32))*($L32+$M32))</f>
        <v>1117.2852600000001</v>
      </c>
      <c r="AB33" s="294">
        <f>((SUM(AB32:$AE32))*($L32+$M32))</f>
        <v>372.42842000000002</v>
      </c>
      <c r="AC33" s="321">
        <f>((SUM(AC32:$AE32))*($L32+$M32))</f>
        <v>0</v>
      </c>
      <c r="AD33" s="321">
        <f>((SUM(AD32:$AE32))*($L32+$M32))</f>
        <v>0</v>
      </c>
      <c r="AE33" s="321">
        <f>((SUM(AE32:$AE32))*($L32+$M32))</f>
        <v>0</v>
      </c>
      <c r="AF33" s="295">
        <f t="shared" si="0"/>
        <v>9310.6100499999993</v>
      </c>
      <c r="AG33" s="278"/>
      <c r="AH33" s="278"/>
    </row>
    <row r="34" spans="1:120" s="279" customFormat="1" x14ac:dyDescent="0.2">
      <c r="A34" s="258">
        <v>10</v>
      </c>
      <c r="B34" s="259" t="s">
        <v>757</v>
      </c>
      <c r="C34" s="260" t="s">
        <v>758</v>
      </c>
      <c r="D34" s="313" t="s">
        <v>759</v>
      </c>
      <c r="E34" s="355" t="str">
        <f>F34</f>
        <v>10.10.2018.</v>
      </c>
      <c r="F34" s="358" t="s">
        <v>760</v>
      </c>
      <c r="G34" s="315" t="s">
        <v>761</v>
      </c>
      <c r="H34" s="264"/>
      <c r="I34" s="265">
        <f>389405-1272.49</f>
        <v>388132.51</v>
      </c>
      <c r="J34" s="264"/>
      <c r="K34" s="266">
        <f>J34/0.702804</f>
        <v>0</v>
      </c>
      <c r="L34" s="369">
        <f>0.101%+L7</f>
        <v>1.7590000000000001E-2</v>
      </c>
      <c r="M34" s="268">
        <f>M7</f>
        <v>2.5000000000000001E-3</v>
      </c>
      <c r="N34" s="269">
        <v>4</v>
      </c>
      <c r="O34" s="270"/>
      <c r="P34" s="271">
        <v>0</v>
      </c>
      <c r="Q34" s="272"/>
      <c r="R34" s="273"/>
      <c r="S34" s="274" t="s">
        <v>693</v>
      </c>
      <c r="T34" s="275">
        <v>340950</v>
      </c>
      <c r="U34" s="380">
        <v>38948.58</v>
      </c>
      <c r="V34" s="276">
        <v>125098.51</v>
      </c>
      <c r="W34" s="276">
        <v>38968</v>
      </c>
      <c r="X34" s="276">
        <v>38968</v>
      </c>
      <c r="Y34" s="276">
        <v>38968</v>
      </c>
      <c r="Z34" s="276">
        <v>38968</v>
      </c>
      <c r="AA34" s="276">
        <v>38968</v>
      </c>
      <c r="AB34" s="276">
        <v>38968</v>
      </c>
      <c r="AC34" s="276">
        <v>29226</v>
      </c>
      <c r="AD34" s="316">
        <v>0</v>
      </c>
      <c r="AE34" s="316">
        <v>0</v>
      </c>
      <c r="AF34" s="277">
        <f t="shared" si="0"/>
        <v>224066</v>
      </c>
      <c r="AG34" s="278"/>
      <c r="AH34" s="278"/>
    </row>
    <row r="35" spans="1:120" s="296" customFormat="1" ht="15.75" thickBot="1" x14ac:dyDescent="0.3">
      <c r="A35" s="280"/>
      <c r="B35" s="281"/>
      <c r="C35" s="282"/>
      <c r="D35" s="282"/>
      <c r="E35" s="283"/>
      <c r="F35" s="284"/>
      <c r="G35" s="285"/>
      <c r="H35" s="286"/>
      <c r="I35" s="318"/>
      <c r="J35" s="319"/>
      <c r="K35" s="320"/>
      <c r="L35" s="282"/>
      <c r="M35" s="282"/>
      <c r="N35" s="282"/>
      <c r="O35" s="289"/>
      <c r="P35" s="288"/>
      <c r="Q35" s="311"/>
      <c r="R35" s="312"/>
      <c r="S35" s="292" t="s">
        <v>695</v>
      </c>
      <c r="T35" s="293"/>
      <c r="U35" s="294">
        <f>((SUM(U34:$AE34))*($L34+$M34))</f>
        <v>8580.0590980999987</v>
      </c>
      <c r="V35" s="294">
        <f>((SUM(V34:$AE34))*($L34+$M34))</f>
        <v>7797.5821259000004</v>
      </c>
      <c r="W35" s="294">
        <f>((SUM(W34:$AE34))*($L34+$M34))</f>
        <v>5284.3530600000004</v>
      </c>
      <c r="X35" s="294">
        <f>((SUM(X34:$AE34))*($L34+$M34))</f>
        <v>4501.4859400000005</v>
      </c>
      <c r="Y35" s="294">
        <f>((SUM(Y34:$AE34))*($L34+$M34))</f>
        <v>3718.6188200000001</v>
      </c>
      <c r="Z35" s="294">
        <f>((SUM(Z34:$AE34))*($L34+$M34))</f>
        <v>2935.7517000000003</v>
      </c>
      <c r="AA35" s="294">
        <f>((SUM(AA34:$AE34))*($L34+$M34))</f>
        <v>2152.8845799999999</v>
      </c>
      <c r="AB35" s="294">
        <f>((SUM(AB34:$AE34))*($L34+$M34))</f>
        <v>1370.01746</v>
      </c>
      <c r="AC35" s="294">
        <f>((SUM(AC34:$AE34))*($L34+$M34))</f>
        <v>587.15034000000003</v>
      </c>
      <c r="AD35" s="321">
        <f>((SUM(AD34:$AE34))*($L34+$M34))</f>
        <v>0</v>
      </c>
      <c r="AE35" s="321">
        <f>((SUM(AE34:$AE34))*($L34+$M34))</f>
        <v>0</v>
      </c>
      <c r="AF35" s="295">
        <f t="shared" si="0"/>
        <v>15265.90884</v>
      </c>
      <c r="AG35" s="278"/>
      <c r="AH35" s="278"/>
    </row>
    <row r="36" spans="1:120" s="279" customFormat="1" x14ac:dyDescent="0.2">
      <c r="A36" s="258">
        <v>11</v>
      </c>
      <c r="B36" s="259" t="s">
        <v>762</v>
      </c>
      <c r="C36" s="260" t="s">
        <v>763</v>
      </c>
      <c r="D36" s="313" t="s">
        <v>764</v>
      </c>
      <c r="E36" s="355"/>
      <c r="F36" s="381">
        <v>44020</v>
      </c>
      <c r="G36" s="315">
        <v>49480</v>
      </c>
      <c r="H36" s="264"/>
      <c r="I36" s="265">
        <f>1290674+120109</f>
        <v>1410783</v>
      </c>
      <c r="J36" s="264"/>
      <c r="K36" s="266">
        <f>J36/0.702804</f>
        <v>0</v>
      </c>
      <c r="L36" s="369">
        <f>0.101%+L7</f>
        <v>1.7590000000000001E-2</v>
      </c>
      <c r="M36" s="268">
        <v>2.5000000000000001E-3</v>
      </c>
      <c r="N36" s="269">
        <v>4</v>
      </c>
      <c r="O36" s="270"/>
      <c r="P36" s="271">
        <v>0</v>
      </c>
      <c r="Q36" s="272"/>
      <c r="R36" s="273"/>
      <c r="S36" s="274" t="s">
        <v>693</v>
      </c>
      <c r="T36" s="276"/>
      <c r="U36" s="276"/>
      <c r="V36" s="276">
        <v>218949</v>
      </c>
      <c r="W36" s="276">
        <v>88284</v>
      </c>
      <c r="X36" s="276">
        <v>88284</v>
      </c>
      <c r="Y36" s="276">
        <v>88284</v>
      </c>
      <c r="Z36" s="276">
        <v>88284</v>
      </c>
      <c r="AA36" s="276">
        <v>88284</v>
      </c>
      <c r="AB36" s="276">
        <v>88284</v>
      </c>
      <c r="AC36" s="276">
        <v>88284</v>
      </c>
      <c r="AD36" s="276">
        <v>88284</v>
      </c>
      <c r="AE36" s="276">
        <v>485562</v>
      </c>
      <c r="AF36" s="277">
        <f t="shared" si="0"/>
        <v>1103550</v>
      </c>
      <c r="AG36" s="278"/>
      <c r="AH36" s="278"/>
    </row>
    <row r="37" spans="1:120" s="296" customFormat="1" ht="15.75" thickBot="1" x14ac:dyDescent="0.3">
      <c r="A37" s="280"/>
      <c r="B37" s="281"/>
      <c r="C37" s="282"/>
      <c r="D37" s="282"/>
      <c r="E37" s="284"/>
      <c r="F37" s="284"/>
      <c r="G37" s="285"/>
      <c r="H37" s="286"/>
      <c r="I37" s="318"/>
      <c r="J37" s="319"/>
      <c r="K37" s="320"/>
      <c r="L37" s="282"/>
      <c r="M37" s="282"/>
      <c r="N37" s="282"/>
      <c r="O37" s="289"/>
      <c r="P37" s="288"/>
      <c r="Q37" s="311"/>
      <c r="R37" s="312"/>
      <c r="S37" s="292" t="s">
        <v>695</v>
      </c>
      <c r="T37" s="376"/>
      <c r="U37" s="376"/>
      <c r="V37" s="294">
        <f>((SUM(V36:$AE36))*($L36+$M36))</f>
        <v>28342.63047</v>
      </c>
      <c r="W37" s="294">
        <f>((SUM(W36:$AE36))*($L36+$M36))</f>
        <v>23943.945060000002</v>
      </c>
      <c r="X37" s="294">
        <f>((SUM(X36:$AE36))*($L36+$M36))</f>
        <v>22170.319500000001</v>
      </c>
      <c r="Y37" s="294">
        <f>((SUM(Y36:$AE36))*($L36+$M36))</f>
        <v>20396.693940000001</v>
      </c>
      <c r="Z37" s="294">
        <f>((SUM(Z36:$AE36))*($L36+$M36))</f>
        <v>18623.068380000001</v>
      </c>
      <c r="AA37" s="294">
        <f>((SUM(AA36:$AE36))*($L36+$M36))</f>
        <v>16849.44282</v>
      </c>
      <c r="AB37" s="294">
        <f>((SUM(AB36:$AE36))*($L36+$M36))</f>
        <v>15075.81726</v>
      </c>
      <c r="AC37" s="294">
        <f>((SUM(AC36:$AE36))*($L36+$M36))</f>
        <v>13302.191699999999</v>
      </c>
      <c r="AD37" s="294">
        <f>((SUM(AD36:$AE36))*($L36+$M36))</f>
        <v>11528.566140000001</v>
      </c>
      <c r="AE37" s="294">
        <f>((SUM(AE36:$AE36))*($L36+$M36))*4.5</f>
        <v>43897.232609999999</v>
      </c>
      <c r="AF37" s="295">
        <f t="shared" si="0"/>
        <v>161843.33234999998</v>
      </c>
      <c r="AG37" s="278"/>
      <c r="AH37" s="278"/>
    </row>
    <row r="38" spans="1:120" s="279" customFormat="1" outlineLevel="1" x14ac:dyDescent="0.2">
      <c r="A38" s="258" t="s">
        <v>251</v>
      </c>
      <c r="B38" s="259" t="s">
        <v>765</v>
      </c>
      <c r="C38" s="260" t="s">
        <v>766</v>
      </c>
      <c r="D38" s="313" t="s">
        <v>767</v>
      </c>
      <c r="E38" s="355" t="s">
        <v>768</v>
      </c>
      <c r="F38" s="358" t="s">
        <v>768</v>
      </c>
      <c r="G38" s="315" t="s">
        <v>769</v>
      </c>
      <c r="H38" s="264"/>
      <c r="I38" s="265">
        <v>20933</v>
      </c>
      <c r="J38" s="264"/>
      <c r="K38" s="266">
        <f>J38/0.702804</f>
        <v>0</v>
      </c>
      <c r="L38" s="369">
        <f>0.101%+L7</f>
        <v>1.7590000000000001E-2</v>
      </c>
      <c r="M38" s="268">
        <v>2.5000000000000001E-3</v>
      </c>
      <c r="N38" s="269">
        <v>4</v>
      </c>
      <c r="O38" s="270"/>
      <c r="P38" s="271">
        <v>0</v>
      </c>
      <c r="Q38" s="272"/>
      <c r="R38" s="273"/>
      <c r="S38" s="274" t="s">
        <v>693</v>
      </c>
      <c r="T38" s="275">
        <v>11630</v>
      </c>
      <c r="U38" s="276">
        <v>4652</v>
      </c>
      <c r="V38" s="276">
        <v>4652</v>
      </c>
      <c r="W38" s="276">
        <v>2326</v>
      </c>
      <c r="X38" s="316">
        <v>0</v>
      </c>
      <c r="Y38" s="316">
        <v>0</v>
      </c>
      <c r="Z38" s="316">
        <v>0</v>
      </c>
      <c r="AA38" s="316">
        <v>0</v>
      </c>
      <c r="AB38" s="316">
        <v>0</v>
      </c>
      <c r="AC38" s="316">
        <v>0</v>
      </c>
      <c r="AD38" s="316">
        <v>0</v>
      </c>
      <c r="AE38" s="316">
        <v>0</v>
      </c>
      <c r="AF38" s="317">
        <f t="shared" si="0"/>
        <v>0</v>
      </c>
      <c r="AG38" s="278"/>
      <c r="AH38" s="278"/>
    </row>
    <row r="39" spans="1:120" s="390" customFormat="1" ht="15.75" outlineLevel="1" thickBot="1" x14ac:dyDescent="0.3">
      <c r="A39" s="280"/>
      <c r="B39" s="281" t="s">
        <v>770</v>
      </c>
      <c r="C39" s="282"/>
      <c r="D39" s="282"/>
      <c r="E39" s="284"/>
      <c r="F39" s="284"/>
      <c r="G39" s="285"/>
      <c r="H39" s="286"/>
      <c r="I39" s="318"/>
      <c r="J39" s="382"/>
      <c r="K39" s="383"/>
      <c r="L39" s="384"/>
      <c r="M39" s="384"/>
      <c r="N39" s="384"/>
      <c r="O39" s="385"/>
      <c r="P39" s="386"/>
      <c r="Q39" s="387"/>
      <c r="R39" s="388"/>
      <c r="S39" s="292" t="s">
        <v>695</v>
      </c>
      <c r="T39" s="293"/>
      <c r="U39" s="294">
        <f>((SUM(U38:$AE38))*($L38+$M38))</f>
        <v>233.64670000000001</v>
      </c>
      <c r="V39" s="294">
        <f>((SUM(V38:$AE38))*($L38+$M38))</f>
        <v>140.18801999999999</v>
      </c>
      <c r="W39" s="294">
        <f>((SUM(W38:$AE38))*($L38+$M38))</f>
        <v>46.729340000000001</v>
      </c>
      <c r="X39" s="321">
        <f>((SUM(X38:$AE38))*($L38+$M38))</f>
        <v>0</v>
      </c>
      <c r="Y39" s="321">
        <f>((SUM(Y38:$AE38))*($L38+$M38))</f>
        <v>0</v>
      </c>
      <c r="Z39" s="321">
        <f>((SUM(Z38:$AE38))*($L38+$M38))</f>
        <v>0</v>
      </c>
      <c r="AA39" s="321">
        <f>((SUM(AA38:$AE38))*($L38+$M38))</f>
        <v>0</v>
      </c>
      <c r="AB39" s="321">
        <f>((SUM(AB38:$AE38))*($L38+$M38))</f>
        <v>0</v>
      </c>
      <c r="AC39" s="321">
        <f>((SUM(AC38:$AE38))*($L38+$M38))</f>
        <v>0</v>
      </c>
      <c r="AD39" s="321">
        <f>((SUM(AD38:$AE38))*($L38+$M38))</f>
        <v>0</v>
      </c>
      <c r="AE39" s="321">
        <f>((SUM(AE38:$AE38))*($L38+$M38))</f>
        <v>0</v>
      </c>
      <c r="AF39" s="389">
        <f t="shared" si="0"/>
        <v>0</v>
      </c>
      <c r="AG39" s="278"/>
      <c r="AH39" s="278"/>
    </row>
    <row r="40" spans="1:120" s="279" customFormat="1" x14ac:dyDescent="0.2">
      <c r="A40" s="258" t="s">
        <v>259</v>
      </c>
      <c r="B40" s="259" t="s">
        <v>765</v>
      </c>
      <c r="C40" s="260" t="s">
        <v>771</v>
      </c>
      <c r="D40" s="313" t="s">
        <v>772</v>
      </c>
      <c r="E40" s="355"/>
      <c r="F40" s="358" t="s">
        <v>773</v>
      </c>
      <c r="G40" s="315" t="s">
        <v>774</v>
      </c>
      <c r="H40" s="264"/>
      <c r="I40" s="265">
        <v>531484</v>
      </c>
      <c r="J40" s="264"/>
      <c r="K40" s="266"/>
      <c r="L40" s="369">
        <f>0.101%+L7</f>
        <v>1.7590000000000001E-2</v>
      </c>
      <c r="M40" s="268">
        <v>2.5000000000000001E-3</v>
      </c>
      <c r="N40" s="269">
        <v>4</v>
      </c>
      <c r="O40" s="270"/>
      <c r="P40" s="271"/>
      <c r="Q40" s="272"/>
      <c r="R40" s="273"/>
      <c r="S40" s="274" t="s">
        <v>693</v>
      </c>
      <c r="T40" s="275">
        <v>519616</v>
      </c>
      <c r="U40" s="276">
        <v>27464</v>
      </c>
      <c r="V40" s="276">
        <v>36656</v>
      </c>
      <c r="W40" s="276">
        <v>36656</v>
      </c>
      <c r="X40" s="276">
        <v>36656</v>
      </c>
      <c r="Y40" s="276">
        <v>36656</v>
      </c>
      <c r="Z40" s="276">
        <v>36656</v>
      </c>
      <c r="AA40" s="276">
        <v>36656</v>
      </c>
      <c r="AB40" s="276">
        <v>36656</v>
      </c>
      <c r="AC40" s="276">
        <v>36656</v>
      </c>
      <c r="AD40" s="276">
        <v>36656</v>
      </c>
      <c r="AE40" s="276">
        <v>162248</v>
      </c>
      <c r="AF40" s="277">
        <f t="shared" si="0"/>
        <v>418840</v>
      </c>
      <c r="AG40" s="278"/>
      <c r="AH40" s="278"/>
    </row>
    <row r="41" spans="1:120" s="296" customFormat="1" ht="15.75" thickBot="1" x14ac:dyDescent="0.3">
      <c r="A41" s="280"/>
      <c r="B41" s="281" t="s">
        <v>775</v>
      </c>
      <c r="C41" s="282"/>
      <c r="D41" s="282"/>
      <c r="E41" s="284"/>
      <c r="F41" s="284"/>
      <c r="G41" s="285"/>
      <c r="H41" s="286"/>
      <c r="I41" s="318"/>
      <c r="J41" s="319"/>
      <c r="K41" s="320"/>
      <c r="L41" s="282"/>
      <c r="M41" s="282"/>
      <c r="N41" s="282"/>
      <c r="O41" s="289"/>
      <c r="P41" s="288"/>
      <c r="Q41" s="311"/>
      <c r="R41" s="312"/>
      <c r="S41" s="292" t="s">
        <v>695</v>
      </c>
      <c r="T41" s="293"/>
      <c r="U41" s="294">
        <f>((SUM(U40:$AE40))*($L40+$M40))</f>
        <v>10439.085440000001</v>
      </c>
      <c r="V41" s="294">
        <f>((SUM(V40:$AE40))*($L40+$M40))</f>
        <v>9887.3336799999997</v>
      </c>
      <c r="W41" s="294">
        <f>((SUM(W40:$AE40))*($L40+$M40))</f>
        <v>9150.9146400000009</v>
      </c>
      <c r="X41" s="294">
        <f>((SUM(X40:$AE40))*($L40+$M40))</f>
        <v>8414.4956000000002</v>
      </c>
      <c r="Y41" s="294">
        <f>((SUM(Y40:$AE40))*($L40+$M40))</f>
        <v>7678.0765600000004</v>
      </c>
      <c r="Z41" s="294">
        <f>((SUM(Z40:$AE40))*($L40+$M40))</f>
        <v>6941.6575199999997</v>
      </c>
      <c r="AA41" s="294">
        <f>((SUM(AA40:$AE40))*($L40+$M40))</f>
        <v>6205.23848</v>
      </c>
      <c r="AB41" s="294">
        <f>((SUM(AB40:$AE40))*($L40+$M40))</f>
        <v>5468.8194400000002</v>
      </c>
      <c r="AC41" s="294">
        <f>((SUM(AC40:$AE40))*($L40+$M40))</f>
        <v>4732.4004000000004</v>
      </c>
      <c r="AD41" s="294">
        <f>((SUM(AD40:$AE40))*($L40+$M40))</f>
        <v>3995.9813600000002</v>
      </c>
      <c r="AE41" s="294">
        <f>((SUM(AE40:$AE40))*($L40+$M40))*4</f>
        <v>13038.24928</v>
      </c>
      <c r="AF41" s="295">
        <f t="shared" si="0"/>
        <v>56474.918640000004</v>
      </c>
      <c r="AG41" s="278"/>
      <c r="AH41" s="278"/>
    </row>
    <row r="42" spans="1:120" s="279" customFormat="1" ht="13.15" customHeight="1" outlineLevel="1" x14ac:dyDescent="0.2">
      <c r="A42" s="258">
        <v>12</v>
      </c>
      <c r="B42" s="259" t="s">
        <v>776</v>
      </c>
      <c r="C42" s="260" t="s">
        <v>777</v>
      </c>
      <c r="D42" s="313" t="s">
        <v>778</v>
      </c>
      <c r="E42" s="355" t="s">
        <v>779</v>
      </c>
      <c r="F42" s="355" t="s">
        <v>779</v>
      </c>
      <c r="G42" s="315" t="s">
        <v>780</v>
      </c>
      <c r="H42" s="264"/>
      <c r="I42" s="265">
        <v>145533</v>
      </c>
      <c r="J42" s="264"/>
      <c r="K42" s="266">
        <f>J42/0.702804</f>
        <v>0</v>
      </c>
      <c r="L42" s="369">
        <f>0.101%+L7</f>
        <v>1.7590000000000001E-2</v>
      </c>
      <c r="M42" s="268">
        <v>2.5000000000000001E-3</v>
      </c>
      <c r="N42" s="269">
        <v>4</v>
      </c>
      <c r="O42" s="270"/>
      <c r="P42" s="271">
        <v>0</v>
      </c>
      <c r="Q42" s="272"/>
      <c r="R42" s="273"/>
      <c r="S42" s="274" t="s">
        <v>693</v>
      </c>
      <c r="T42" s="275">
        <v>0</v>
      </c>
      <c r="U42" s="276"/>
      <c r="V42" s="316">
        <v>0</v>
      </c>
      <c r="W42" s="316">
        <v>0</v>
      </c>
      <c r="X42" s="316">
        <v>0</v>
      </c>
      <c r="Y42" s="316">
        <v>0</v>
      </c>
      <c r="Z42" s="316">
        <v>0</v>
      </c>
      <c r="AA42" s="316">
        <v>0</v>
      </c>
      <c r="AB42" s="316">
        <v>0</v>
      </c>
      <c r="AC42" s="316">
        <v>0</v>
      </c>
      <c r="AD42" s="316">
        <v>0</v>
      </c>
      <c r="AE42" s="316">
        <v>0</v>
      </c>
      <c r="AF42" s="317">
        <f t="shared" ref="AF42:AF75" si="1">SUM(X42:AE42)</f>
        <v>0</v>
      </c>
      <c r="AG42" s="278"/>
      <c r="AH42" s="278"/>
    </row>
    <row r="43" spans="1:120" s="296" customFormat="1" ht="15" customHeight="1" outlineLevel="1" thickBot="1" x14ac:dyDescent="0.3">
      <c r="A43" s="280"/>
      <c r="B43" s="281"/>
      <c r="C43" s="282"/>
      <c r="D43" s="282"/>
      <c r="E43" s="284"/>
      <c r="F43" s="284"/>
      <c r="G43" s="285"/>
      <c r="H43" s="286"/>
      <c r="I43" s="318"/>
      <c r="J43" s="319"/>
      <c r="K43" s="320"/>
      <c r="L43" s="282"/>
      <c r="M43" s="282"/>
      <c r="N43" s="282"/>
      <c r="O43" s="289"/>
      <c r="P43" s="288"/>
      <c r="Q43" s="311"/>
      <c r="R43" s="312"/>
      <c r="S43" s="292" t="s">
        <v>695</v>
      </c>
      <c r="T43" s="293"/>
      <c r="U43" s="376"/>
      <c r="V43" s="321">
        <v>0</v>
      </c>
      <c r="W43" s="321">
        <v>0</v>
      </c>
      <c r="X43" s="321">
        <v>0</v>
      </c>
      <c r="Y43" s="321">
        <v>0</v>
      </c>
      <c r="Z43" s="321">
        <v>0</v>
      </c>
      <c r="AA43" s="321">
        <v>0</v>
      </c>
      <c r="AB43" s="321">
        <v>0</v>
      </c>
      <c r="AC43" s="321">
        <v>0</v>
      </c>
      <c r="AD43" s="321">
        <v>0</v>
      </c>
      <c r="AE43" s="321">
        <v>0</v>
      </c>
      <c r="AF43" s="389">
        <f t="shared" si="1"/>
        <v>0</v>
      </c>
      <c r="AG43" s="278"/>
      <c r="AH43" s="278"/>
    </row>
    <row r="44" spans="1:120" s="279" customFormat="1" outlineLevel="1" x14ac:dyDescent="0.2">
      <c r="A44" s="258" t="s">
        <v>292</v>
      </c>
      <c r="B44" s="259" t="s">
        <v>781</v>
      </c>
      <c r="C44" s="260" t="s">
        <v>782</v>
      </c>
      <c r="D44" s="313" t="s">
        <v>783</v>
      </c>
      <c r="E44" s="355" t="s">
        <v>727</v>
      </c>
      <c r="F44" s="355" t="s">
        <v>727</v>
      </c>
      <c r="G44" s="315" t="s">
        <v>738</v>
      </c>
      <c r="H44" s="264"/>
      <c r="I44" s="265">
        <v>109384</v>
      </c>
      <c r="J44" s="264"/>
      <c r="K44" s="266">
        <f>J44/0.702804</f>
        <v>0</v>
      </c>
      <c r="L44" s="369">
        <f>0.101%+L7</f>
        <v>1.7590000000000001E-2</v>
      </c>
      <c r="M44" s="268">
        <v>2.5000000000000001E-3</v>
      </c>
      <c r="N44" s="269">
        <v>4</v>
      </c>
      <c r="O44" s="270"/>
      <c r="P44" s="271">
        <v>0</v>
      </c>
      <c r="Q44" s="272"/>
      <c r="R44" s="273"/>
      <c r="S44" s="274" t="s">
        <v>693</v>
      </c>
      <c r="T44" s="275">
        <v>68651</v>
      </c>
      <c r="U44" s="276">
        <v>24964</v>
      </c>
      <c r="V44" s="276">
        <v>24964</v>
      </c>
      <c r="W44" s="276">
        <v>18723</v>
      </c>
      <c r="X44" s="316">
        <v>0</v>
      </c>
      <c r="Y44" s="316">
        <v>0</v>
      </c>
      <c r="Z44" s="316">
        <v>0</v>
      </c>
      <c r="AA44" s="316">
        <v>0</v>
      </c>
      <c r="AB44" s="316">
        <v>0</v>
      </c>
      <c r="AC44" s="316">
        <v>0</v>
      </c>
      <c r="AD44" s="316">
        <v>0</v>
      </c>
      <c r="AE44" s="316">
        <v>0</v>
      </c>
      <c r="AF44" s="317">
        <f t="shared" si="1"/>
        <v>0</v>
      </c>
      <c r="AG44" s="278"/>
      <c r="AH44" s="278"/>
    </row>
    <row r="45" spans="1:120" s="390" customFormat="1" ht="15.75" outlineLevel="1" thickBot="1" x14ac:dyDescent="0.3">
      <c r="A45" s="280"/>
      <c r="B45" s="281" t="s">
        <v>784</v>
      </c>
      <c r="C45" s="391" t="s">
        <v>785</v>
      </c>
      <c r="D45" s="282"/>
      <c r="E45" s="284"/>
      <c r="F45" s="284"/>
      <c r="G45" s="285"/>
      <c r="H45" s="286"/>
      <c r="I45" s="318"/>
      <c r="J45" s="382"/>
      <c r="K45" s="383"/>
      <c r="L45" s="384"/>
      <c r="M45" s="384"/>
      <c r="N45" s="384"/>
      <c r="O45" s="385"/>
      <c r="P45" s="386"/>
      <c r="Q45" s="387"/>
      <c r="R45" s="388"/>
      <c r="S45" s="292" t="s">
        <v>695</v>
      </c>
      <c r="T45" s="293"/>
      <c r="U45" s="294">
        <f>((SUM(U44:$AE44))*($L44+$M44))</f>
        <v>1379.19859</v>
      </c>
      <c r="V45" s="294">
        <f>((SUM(V44:$AE44))*($L44+$M44))</f>
        <v>877.67183</v>
      </c>
      <c r="W45" s="294">
        <f>((SUM(W44:$AE44))*($L44+$M44))</f>
        <v>376.14507000000003</v>
      </c>
      <c r="X45" s="321">
        <f>((SUM(X44:$AE44))*($L44+$M44))</f>
        <v>0</v>
      </c>
      <c r="Y45" s="321">
        <f>((SUM(Y44:$AE44))*($L44+$M44))</f>
        <v>0</v>
      </c>
      <c r="Z45" s="321">
        <f>((SUM(Z44:$AE44))*($L44+$M44))</f>
        <v>0</v>
      </c>
      <c r="AA45" s="321">
        <f>((SUM(AA44:$AE44))*($L44+$M44))</f>
        <v>0</v>
      </c>
      <c r="AB45" s="321">
        <f>((SUM(AB44:$AE44))*($L44+$M44))</f>
        <v>0</v>
      </c>
      <c r="AC45" s="321">
        <f>((SUM(AC44:$AE44))*($L44+$M44))</f>
        <v>0</v>
      </c>
      <c r="AD45" s="321">
        <f>((SUM(AD44:$AE44))*($L44+$M44))</f>
        <v>0</v>
      </c>
      <c r="AE45" s="321">
        <f>((SUM(AE44:$AE44))*($L44+$M44))</f>
        <v>0</v>
      </c>
      <c r="AF45" s="389">
        <f t="shared" si="1"/>
        <v>0</v>
      </c>
      <c r="AG45" s="278"/>
      <c r="AH45" s="278"/>
    </row>
    <row r="46" spans="1:120" s="279" customFormat="1" outlineLevel="1" x14ac:dyDescent="0.2">
      <c r="A46" s="258" t="s">
        <v>294</v>
      </c>
      <c r="B46" s="259" t="s">
        <v>781</v>
      </c>
      <c r="C46" s="260" t="s">
        <v>786</v>
      </c>
      <c r="D46" s="313" t="s">
        <v>787</v>
      </c>
      <c r="E46" s="355"/>
      <c r="F46" s="358" t="s">
        <v>788</v>
      </c>
      <c r="G46" s="315" t="s">
        <v>789</v>
      </c>
      <c r="H46" s="264"/>
      <c r="I46" s="265">
        <v>179713</v>
      </c>
      <c r="J46" s="264"/>
      <c r="K46" s="266"/>
      <c r="L46" s="369">
        <f>0.101%+L7</f>
        <v>1.7590000000000001E-2</v>
      </c>
      <c r="M46" s="268">
        <v>2.5000000000000001E-3</v>
      </c>
      <c r="N46" s="269">
        <v>4</v>
      </c>
      <c r="O46" s="270"/>
      <c r="P46" s="271"/>
      <c r="Q46" s="272"/>
      <c r="R46" s="273"/>
      <c r="S46" s="306" t="s">
        <v>693</v>
      </c>
      <c r="T46" s="275">
        <v>157328</v>
      </c>
      <c r="U46" s="276">
        <v>23146</v>
      </c>
      <c r="V46" s="276">
        <v>92652</v>
      </c>
      <c r="W46" s="276">
        <v>63915</v>
      </c>
      <c r="X46" s="316">
        <v>0</v>
      </c>
      <c r="Y46" s="316">
        <v>0</v>
      </c>
      <c r="Z46" s="316">
        <v>0</v>
      </c>
      <c r="AA46" s="316">
        <v>0</v>
      </c>
      <c r="AB46" s="316">
        <v>0</v>
      </c>
      <c r="AC46" s="316">
        <v>0</v>
      </c>
      <c r="AD46" s="316">
        <v>0</v>
      </c>
      <c r="AE46" s="316">
        <v>0</v>
      </c>
      <c r="AF46" s="317">
        <f t="shared" si="1"/>
        <v>0</v>
      </c>
      <c r="AG46" s="278"/>
      <c r="AH46" s="278"/>
    </row>
    <row r="47" spans="1:120" s="296" customFormat="1" ht="15.75" outlineLevel="1" thickBot="1" x14ac:dyDescent="0.3">
      <c r="A47" s="280"/>
      <c r="B47" s="281" t="s">
        <v>790</v>
      </c>
      <c r="C47" s="282"/>
      <c r="D47" s="282"/>
      <c r="E47" s="284"/>
      <c r="F47" s="284"/>
      <c r="G47" s="285"/>
      <c r="H47" s="286"/>
      <c r="I47" s="318"/>
      <c r="J47" s="319"/>
      <c r="K47" s="320"/>
      <c r="L47" s="282"/>
      <c r="M47" s="282"/>
      <c r="N47" s="282"/>
      <c r="O47" s="289"/>
      <c r="P47" s="288"/>
      <c r="Q47" s="311"/>
      <c r="R47" s="312"/>
      <c r="S47" s="292" t="s">
        <v>695</v>
      </c>
      <c r="T47" s="376"/>
      <c r="U47" s="294">
        <f>((SUM(U46:$AE46))*($L46+$M46))</f>
        <v>3610.43417</v>
      </c>
      <c r="V47" s="294">
        <f>((SUM(V46:$AE46))*($L46+$M46))</f>
        <v>3145.4310300000002</v>
      </c>
      <c r="W47" s="294">
        <f>((SUM(W46:$AE46))*($L46+$M46))</f>
        <v>1284.0523499999999</v>
      </c>
      <c r="X47" s="321">
        <f>((SUM(X46:$AE46))*($L46+$M46))</f>
        <v>0</v>
      </c>
      <c r="Y47" s="321">
        <f>((SUM(Y46:$AE46))*($L46+$M46))</f>
        <v>0</v>
      </c>
      <c r="Z47" s="321">
        <f>((SUM(Z46:$AE46))*($L46+$M46))</f>
        <v>0</v>
      </c>
      <c r="AA47" s="321">
        <f>((SUM(AA46:$AE46))*($L46+$M46))</f>
        <v>0</v>
      </c>
      <c r="AB47" s="321">
        <f>((SUM(AB46:$AE46))*($L46+$M46))</f>
        <v>0</v>
      </c>
      <c r="AC47" s="321">
        <f>((SUM(AC46:$AE46))*($L46+$M46))</f>
        <v>0</v>
      </c>
      <c r="AD47" s="321">
        <f>((SUM(AD46:$AE46))*($L46+$M46))</f>
        <v>0</v>
      </c>
      <c r="AE47" s="321">
        <f>((SUM(AE46:$AE46))*($L46+$M46))</f>
        <v>0</v>
      </c>
      <c r="AF47" s="389">
        <f t="shared" si="1"/>
        <v>0</v>
      </c>
      <c r="AG47" s="278"/>
      <c r="AH47" s="278"/>
    </row>
    <row r="48" spans="1:120" s="392" customFormat="1" x14ac:dyDescent="0.2">
      <c r="A48" s="258" t="s">
        <v>791</v>
      </c>
      <c r="B48" s="259" t="s">
        <v>781</v>
      </c>
      <c r="C48" s="260" t="s">
        <v>792</v>
      </c>
      <c r="D48" s="313" t="s">
        <v>793</v>
      </c>
      <c r="E48" s="355"/>
      <c r="F48" s="358" t="s">
        <v>794</v>
      </c>
      <c r="G48" s="315" t="s">
        <v>795</v>
      </c>
      <c r="H48" s="264"/>
      <c r="I48" s="265">
        <v>1230506</v>
      </c>
      <c r="J48" s="264"/>
      <c r="K48" s="266"/>
      <c r="L48" s="369">
        <f>0.101%+$L$7</f>
        <v>1.7590000000000001E-2</v>
      </c>
      <c r="M48" s="268">
        <v>2.5000000000000001E-3</v>
      </c>
      <c r="N48" s="269">
        <v>4</v>
      </c>
      <c r="O48" s="270"/>
      <c r="P48" s="271"/>
      <c r="Q48" s="272"/>
      <c r="R48" s="273"/>
      <c r="S48" s="306" t="s">
        <v>693</v>
      </c>
      <c r="T48" s="275">
        <v>157328</v>
      </c>
      <c r="U48" s="276">
        <v>23146</v>
      </c>
      <c r="V48" s="276">
        <v>0</v>
      </c>
      <c r="W48" s="276">
        <v>20000</v>
      </c>
      <c r="X48" s="276">
        <v>64754</v>
      </c>
      <c r="Y48" s="276">
        <v>86352</v>
      </c>
      <c r="Z48" s="276">
        <v>86352</v>
      </c>
      <c r="AA48" s="276">
        <v>86352</v>
      </c>
      <c r="AB48" s="276">
        <v>86352</v>
      </c>
      <c r="AC48" s="276">
        <v>86352</v>
      </c>
      <c r="AD48" s="276">
        <v>86352</v>
      </c>
      <c r="AE48" s="276">
        <f>-SUM(W48:AD48)+I48</f>
        <v>627640</v>
      </c>
      <c r="AF48" s="277">
        <f t="shared" si="1"/>
        <v>1210506</v>
      </c>
      <c r="AG48" s="278"/>
      <c r="AH48" s="278"/>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79"/>
      <c r="BR48" s="279"/>
      <c r="BS48" s="279"/>
      <c r="BT48" s="279"/>
      <c r="BU48" s="279"/>
      <c r="BV48" s="279"/>
      <c r="BW48" s="279"/>
      <c r="BX48" s="279"/>
      <c r="BY48" s="279"/>
      <c r="BZ48" s="279"/>
      <c r="CA48" s="279"/>
      <c r="CB48" s="279"/>
      <c r="CC48" s="279"/>
      <c r="CD48" s="279"/>
      <c r="CE48" s="279"/>
      <c r="CF48" s="279"/>
      <c r="CG48" s="279"/>
      <c r="CH48" s="279"/>
      <c r="CI48" s="279"/>
      <c r="CJ48" s="279"/>
      <c r="CK48" s="279"/>
      <c r="CL48" s="279"/>
      <c r="CM48" s="279"/>
      <c r="CN48" s="279"/>
      <c r="CO48" s="279"/>
      <c r="CP48" s="279"/>
      <c r="CQ48" s="279"/>
      <c r="CR48" s="279"/>
      <c r="CS48" s="279"/>
      <c r="CT48" s="279"/>
      <c r="CU48" s="279"/>
      <c r="CV48" s="279"/>
      <c r="CW48" s="279"/>
      <c r="CX48" s="279"/>
      <c r="CY48" s="279"/>
      <c r="CZ48" s="279"/>
      <c r="DA48" s="279"/>
      <c r="DB48" s="279"/>
      <c r="DC48" s="279"/>
      <c r="DD48" s="279"/>
      <c r="DE48" s="279"/>
      <c r="DF48" s="279"/>
      <c r="DG48" s="279"/>
      <c r="DH48" s="279"/>
      <c r="DI48" s="279"/>
      <c r="DJ48" s="279"/>
      <c r="DK48" s="279"/>
      <c r="DL48" s="279"/>
      <c r="DM48" s="279"/>
      <c r="DN48" s="279"/>
      <c r="DO48" s="279"/>
      <c r="DP48" s="279"/>
    </row>
    <row r="49" spans="1:120" s="394" customFormat="1" ht="15.75" thickBot="1" x14ac:dyDescent="0.3">
      <c r="A49" s="280"/>
      <c r="B49" s="281" t="s">
        <v>790</v>
      </c>
      <c r="C49" s="282"/>
      <c r="D49" s="282"/>
      <c r="E49" s="284"/>
      <c r="F49" s="284"/>
      <c r="G49" s="285"/>
      <c r="H49" s="286"/>
      <c r="I49" s="393"/>
      <c r="J49" s="319"/>
      <c r="K49" s="320"/>
      <c r="L49" s="282"/>
      <c r="M49" s="282"/>
      <c r="N49" s="282"/>
      <c r="O49" s="289"/>
      <c r="P49" s="288"/>
      <c r="Q49" s="311"/>
      <c r="R49" s="312"/>
      <c r="S49" s="292" t="s">
        <v>695</v>
      </c>
      <c r="T49" s="293"/>
      <c r="U49" s="294">
        <f>((SUM(U48:$AE48))*($L48+$M48))</f>
        <v>25185.86868</v>
      </c>
      <c r="V49" s="294">
        <f>((SUM(V48:$AE48))*($L48+$M48))</f>
        <v>24720.865539999999</v>
      </c>
      <c r="W49" s="294">
        <f>((SUM(W48:$AE48))*($L48+$M48))</f>
        <v>24720.865539999999</v>
      </c>
      <c r="X49" s="294">
        <f>((SUM(X48:$AE48))*($L48+$M48))</f>
        <v>24319.06554</v>
      </c>
      <c r="Y49" s="294">
        <f>((SUM(Y48:$AE48))*($L48+$M48))</f>
        <v>23018.15768</v>
      </c>
      <c r="Z49" s="294">
        <f>((SUM(Z48:$AE48))*($L48+$M48))</f>
        <v>21283.346000000001</v>
      </c>
      <c r="AA49" s="294">
        <f>((SUM(AA48:$AE48))*($L48+$M48))</f>
        <v>19548.534319999999</v>
      </c>
      <c r="AB49" s="294">
        <f>((SUM(AB48:$AE48))*($L48+$M48))</f>
        <v>17813.72264</v>
      </c>
      <c r="AC49" s="294">
        <f>((SUM(AC48:$AE48))*($L48+$M48))</f>
        <v>16078.910960000001</v>
      </c>
      <c r="AD49" s="294">
        <f>((SUM(AD48:$AE48))*($L48+$M48))</f>
        <v>14344.09928</v>
      </c>
      <c r="AE49" s="294">
        <f>((SUM(AE48:$AE48))*($L48+$M48))*6</f>
        <v>75655.725600000005</v>
      </c>
      <c r="AF49" s="295">
        <f t="shared" si="1"/>
        <v>212061.56202000001</v>
      </c>
      <c r="AG49" s="278"/>
      <c r="AH49" s="278"/>
      <c r="AI49" s="296"/>
      <c r="AJ49" s="296"/>
      <c r="AK49" s="296"/>
      <c r="AL49" s="296"/>
      <c r="AM49" s="296"/>
      <c r="AN49" s="296"/>
      <c r="AO49" s="296"/>
      <c r="AP49" s="296"/>
      <c r="AQ49" s="296"/>
      <c r="AR49" s="296"/>
      <c r="AS49" s="296"/>
      <c r="AT49" s="296"/>
      <c r="AU49" s="296"/>
      <c r="AV49" s="296"/>
      <c r="AW49" s="296"/>
      <c r="AX49" s="296"/>
      <c r="AY49" s="296"/>
      <c r="AZ49" s="296"/>
      <c r="BA49" s="296"/>
      <c r="BB49" s="296"/>
      <c r="BC49" s="296"/>
      <c r="BD49" s="296"/>
      <c r="BE49" s="296"/>
      <c r="BF49" s="296"/>
      <c r="BG49" s="296"/>
      <c r="BH49" s="296"/>
      <c r="BI49" s="296"/>
      <c r="BJ49" s="296"/>
      <c r="BK49" s="296"/>
      <c r="BL49" s="296"/>
      <c r="BM49" s="296"/>
      <c r="BN49" s="296"/>
      <c r="BO49" s="296"/>
      <c r="BP49" s="296"/>
      <c r="BQ49" s="296"/>
      <c r="BR49" s="296"/>
      <c r="BS49" s="296"/>
      <c r="BT49" s="296"/>
      <c r="BU49" s="296"/>
      <c r="BV49" s="296"/>
      <c r="BW49" s="296"/>
      <c r="BX49" s="296"/>
      <c r="BY49" s="296"/>
      <c r="BZ49" s="296"/>
      <c r="CA49" s="296"/>
      <c r="CB49" s="296"/>
      <c r="CC49" s="296"/>
      <c r="CD49" s="296"/>
      <c r="CE49" s="296"/>
      <c r="CF49" s="296"/>
      <c r="CG49" s="296"/>
      <c r="CH49" s="296"/>
      <c r="CI49" s="296"/>
      <c r="CJ49" s="296"/>
      <c r="CK49" s="296"/>
      <c r="CL49" s="296"/>
      <c r="CM49" s="296"/>
      <c r="CN49" s="296"/>
      <c r="CO49" s="296"/>
      <c r="CP49" s="296"/>
      <c r="CQ49" s="296"/>
      <c r="CR49" s="296"/>
      <c r="CS49" s="296"/>
      <c r="CT49" s="296"/>
      <c r="CU49" s="296"/>
      <c r="CV49" s="296"/>
      <c r="CW49" s="296"/>
      <c r="CX49" s="296"/>
      <c r="CY49" s="296"/>
      <c r="CZ49" s="296"/>
      <c r="DA49" s="296"/>
      <c r="DB49" s="296"/>
      <c r="DC49" s="296"/>
      <c r="DD49" s="296"/>
      <c r="DE49" s="296"/>
      <c r="DF49" s="296"/>
      <c r="DG49" s="296"/>
      <c r="DH49" s="296"/>
      <c r="DI49" s="296"/>
      <c r="DJ49" s="296"/>
      <c r="DK49" s="296"/>
      <c r="DL49" s="296"/>
      <c r="DM49" s="296"/>
      <c r="DN49" s="296"/>
      <c r="DO49" s="296"/>
      <c r="DP49" s="296"/>
    </row>
    <row r="50" spans="1:120" s="394" customFormat="1" ht="25.15" customHeight="1" x14ac:dyDescent="0.25">
      <c r="A50" s="395" t="s">
        <v>796</v>
      </c>
      <c r="B50" s="396" t="s">
        <v>797</v>
      </c>
      <c r="C50" s="397" t="s">
        <v>798</v>
      </c>
      <c r="D50" s="398" t="s">
        <v>799</v>
      </c>
      <c r="E50" s="358"/>
      <c r="F50" s="358" t="s">
        <v>800</v>
      </c>
      <c r="G50" s="315" t="s">
        <v>801</v>
      </c>
      <c r="H50" s="301"/>
      <c r="I50" s="265">
        <v>292889</v>
      </c>
      <c r="J50" s="360"/>
      <c r="K50" s="320"/>
      <c r="L50" s="369">
        <f>0.101%+$L$7</f>
        <v>1.7590000000000001E-2</v>
      </c>
      <c r="M50" s="268">
        <v>2.5000000000000001E-3</v>
      </c>
      <c r="N50" s="303"/>
      <c r="O50" s="304"/>
      <c r="P50" s="305"/>
      <c r="Q50" s="361"/>
      <c r="R50" s="362"/>
      <c r="S50" s="306" t="s">
        <v>693</v>
      </c>
      <c r="T50" s="371"/>
      <c r="U50" s="399"/>
      <c r="V50" s="399"/>
      <c r="W50" s="399"/>
      <c r="X50" s="276">
        <v>10099</v>
      </c>
      <c r="Y50" s="276">
        <v>20200</v>
      </c>
      <c r="Z50" s="276">
        <v>20200</v>
      </c>
      <c r="AA50" s="276">
        <v>20200</v>
      </c>
      <c r="AB50" s="276">
        <v>20200</v>
      </c>
      <c r="AC50" s="276">
        <v>20200</v>
      </c>
      <c r="AD50" s="276">
        <v>20200</v>
      </c>
      <c r="AE50" s="276">
        <f>-SUM(X50:AD50)+I50</f>
        <v>161590</v>
      </c>
      <c r="AF50" s="277">
        <f>SUM(X50:AE50)</f>
        <v>292889</v>
      </c>
      <c r="AG50" s="278"/>
      <c r="AH50" s="278"/>
      <c r="AI50" s="296"/>
      <c r="AJ50" s="296"/>
      <c r="AK50" s="296"/>
      <c r="AL50" s="296"/>
      <c r="AM50" s="296"/>
      <c r="AN50" s="296"/>
      <c r="AO50" s="296"/>
      <c r="AP50" s="296"/>
      <c r="AQ50" s="296"/>
      <c r="AR50" s="296"/>
      <c r="AS50" s="296"/>
      <c r="AT50" s="296"/>
      <c r="AU50" s="296"/>
      <c r="AV50" s="296"/>
      <c r="AW50" s="296"/>
      <c r="AX50" s="296"/>
      <c r="AY50" s="296"/>
      <c r="AZ50" s="296"/>
      <c r="BA50" s="296"/>
      <c r="BB50" s="296"/>
      <c r="BC50" s="296"/>
      <c r="BD50" s="296"/>
      <c r="BE50" s="296"/>
      <c r="BF50" s="296"/>
      <c r="BG50" s="296"/>
      <c r="BH50" s="296"/>
      <c r="BI50" s="296"/>
      <c r="BJ50" s="296"/>
      <c r="BK50" s="296"/>
      <c r="BL50" s="296"/>
      <c r="BM50" s="296"/>
      <c r="BN50" s="296"/>
      <c r="BO50" s="296"/>
      <c r="BP50" s="296"/>
      <c r="BQ50" s="296"/>
      <c r="BR50" s="296"/>
      <c r="BS50" s="296"/>
      <c r="BT50" s="296"/>
      <c r="BU50" s="296"/>
      <c r="BV50" s="296"/>
      <c r="BW50" s="296"/>
      <c r="BX50" s="296"/>
      <c r="BY50" s="296"/>
      <c r="BZ50" s="296"/>
      <c r="CA50" s="296"/>
      <c r="CB50" s="296"/>
      <c r="CC50" s="296"/>
      <c r="CD50" s="296"/>
      <c r="CE50" s="296"/>
      <c r="CF50" s="296"/>
      <c r="CG50" s="296"/>
      <c r="CH50" s="296"/>
      <c r="CI50" s="296"/>
      <c r="CJ50" s="296"/>
      <c r="CK50" s="296"/>
      <c r="CL50" s="296"/>
      <c r="CM50" s="296"/>
      <c r="CN50" s="296"/>
      <c r="CO50" s="296"/>
      <c r="CP50" s="296"/>
      <c r="CQ50" s="296"/>
      <c r="CR50" s="296"/>
      <c r="CS50" s="296"/>
      <c r="CT50" s="296"/>
      <c r="CU50" s="296"/>
      <c r="CV50" s="296"/>
      <c r="CW50" s="296"/>
      <c r="CX50" s="296"/>
      <c r="CY50" s="296"/>
      <c r="CZ50" s="296"/>
      <c r="DA50" s="296"/>
      <c r="DB50" s="296"/>
      <c r="DC50" s="296"/>
      <c r="DD50" s="296"/>
      <c r="DE50" s="296"/>
      <c r="DF50" s="296"/>
      <c r="DG50" s="296"/>
      <c r="DH50" s="296"/>
      <c r="DI50" s="296"/>
      <c r="DJ50" s="296"/>
      <c r="DK50" s="296"/>
      <c r="DL50" s="296"/>
      <c r="DM50" s="296"/>
      <c r="DN50" s="296"/>
      <c r="DO50" s="296"/>
      <c r="DP50" s="296"/>
    </row>
    <row r="51" spans="1:120" s="394" customFormat="1" ht="23.25" thickBot="1" x14ac:dyDescent="0.3">
      <c r="A51" s="297"/>
      <c r="B51" s="400" t="s">
        <v>802</v>
      </c>
      <c r="C51" s="303"/>
      <c r="D51" s="303"/>
      <c r="E51" s="358"/>
      <c r="F51" s="284"/>
      <c r="G51" s="356"/>
      <c r="H51" s="301"/>
      <c r="I51" s="401"/>
      <c r="J51" s="360"/>
      <c r="K51" s="320"/>
      <c r="L51" s="303"/>
      <c r="M51" s="303"/>
      <c r="N51" s="303"/>
      <c r="O51" s="304"/>
      <c r="P51" s="305"/>
      <c r="Q51" s="361"/>
      <c r="R51" s="362"/>
      <c r="S51" s="292" t="s">
        <v>695</v>
      </c>
      <c r="T51" s="371"/>
      <c r="U51" s="399"/>
      <c r="V51" s="399"/>
      <c r="W51" s="399"/>
      <c r="X51" s="294">
        <f>((SUM(X50:$AE50))*($L50+$M50))</f>
        <v>5884.1400100000001</v>
      </c>
      <c r="Y51" s="294">
        <f>((SUM(Y50:$AE50))*($L50+$M50))</f>
        <v>5681.2511000000004</v>
      </c>
      <c r="Z51" s="294">
        <f>((SUM(Z50:$AE50))*($L50+$M50))</f>
        <v>5275.4331000000002</v>
      </c>
      <c r="AA51" s="294">
        <f>((SUM(AA50:$AE50))*($L50+$M50))</f>
        <v>4869.6151</v>
      </c>
      <c r="AB51" s="294">
        <f>((SUM(AB50:$AE50))*($L50+$M50))</f>
        <v>4463.7970999999998</v>
      </c>
      <c r="AC51" s="294">
        <f>((SUM(AC50:$AE50))*($L50+$M50))</f>
        <v>4057.9791</v>
      </c>
      <c r="AD51" s="294">
        <f>((SUM(AD50:$AE50))*($L50+$M50))</f>
        <v>3652.1611000000003</v>
      </c>
      <c r="AE51" s="294">
        <f>((SUM(AE50:$AE50))*($L50+$M50))*7</f>
        <v>22724.401700000002</v>
      </c>
      <c r="AF51" s="295">
        <f t="shared" si="1"/>
        <v>56608.778310000002</v>
      </c>
      <c r="AG51" s="278"/>
      <c r="AH51" s="278"/>
      <c r="AI51" s="296"/>
      <c r="AJ51" s="296"/>
      <c r="AK51" s="296"/>
      <c r="AL51" s="296"/>
      <c r="AM51" s="296"/>
      <c r="AN51" s="296"/>
      <c r="AO51" s="296"/>
      <c r="AP51" s="296"/>
      <c r="AQ51" s="296"/>
      <c r="AR51" s="296"/>
      <c r="AS51" s="296"/>
      <c r="AT51" s="296"/>
      <c r="AU51" s="296"/>
      <c r="AV51" s="296"/>
      <c r="AW51" s="296"/>
      <c r="AX51" s="296"/>
      <c r="AY51" s="296"/>
      <c r="AZ51" s="296"/>
      <c r="BA51" s="296"/>
      <c r="BB51" s="296"/>
      <c r="BC51" s="296"/>
      <c r="BD51" s="296"/>
      <c r="BE51" s="296"/>
      <c r="BF51" s="296"/>
      <c r="BG51" s="296"/>
      <c r="BH51" s="296"/>
      <c r="BI51" s="296"/>
      <c r="BJ51" s="296"/>
      <c r="BK51" s="296"/>
      <c r="BL51" s="296"/>
      <c r="BM51" s="296"/>
      <c r="BN51" s="296"/>
      <c r="BO51" s="296"/>
      <c r="BP51" s="296"/>
      <c r="BQ51" s="296"/>
      <c r="BR51" s="296"/>
      <c r="BS51" s="296"/>
      <c r="BT51" s="296"/>
      <c r="BU51" s="296"/>
      <c r="BV51" s="296"/>
      <c r="BW51" s="296"/>
      <c r="BX51" s="296"/>
      <c r="BY51" s="296"/>
      <c r="BZ51" s="296"/>
      <c r="CA51" s="296"/>
      <c r="CB51" s="296"/>
      <c r="CC51" s="296"/>
      <c r="CD51" s="296"/>
      <c r="CE51" s="296"/>
      <c r="CF51" s="296"/>
      <c r="CG51" s="296"/>
      <c r="CH51" s="296"/>
      <c r="CI51" s="296"/>
      <c r="CJ51" s="296"/>
      <c r="CK51" s="296"/>
      <c r="CL51" s="296"/>
      <c r="CM51" s="296"/>
      <c r="CN51" s="296"/>
      <c r="CO51" s="296"/>
      <c r="CP51" s="296"/>
      <c r="CQ51" s="296"/>
      <c r="CR51" s="296"/>
      <c r="CS51" s="296"/>
      <c r="CT51" s="296"/>
      <c r="CU51" s="296"/>
      <c r="CV51" s="296"/>
      <c r="CW51" s="296"/>
      <c r="CX51" s="296"/>
      <c r="CY51" s="296"/>
      <c r="CZ51" s="296"/>
      <c r="DA51" s="296"/>
      <c r="DB51" s="296"/>
      <c r="DC51" s="296"/>
      <c r="DD51" s="296"/>
      <c r="DE51" s="296"/>
      <c r="DF51" s="296"/>
      <c r="DG51" s="296"/>
      <c r="DH51" s="296"/>
      <c r="DI51" s="296"/>
      <c r="DJ51" s="296"/>
      <c r="DK51" s="296"/>
      <c r="DL51" s="296"/>
      <c r="DM51" s="296"/>
      <c r="DN51" s="296"/>
      <c r="DO51" s="296"/>
      <c r="DP51" s="296"/>
    </row>
    <row r="52" spans="1:120" s="296" customFormat="1" x14ac:dyDescent="0.2">
      <c r="A52" s="258">
        <v>14</v>
      </c>
      <c r="B52" s="259" t="s">
        <v>803</v>
      </c>
      <c r="C52" s="260" t="s">
        <v>804</v>
      </c>
      <c r="D52" s="313" t="s">
        <v>805</v>
      </c>
      <c r="E52" s="355"/>
      <c r="F52" s="358" t="s">
        <v>806</v>
      </c>
      <c r="G52" s="315" t="s">
        <v>807</v>
      </c>
      <c r="H52" s="264"/>
      <c r="I52" s="265">
        <v>1174140</v>
      </c>
      <c r="J52" s="264"/>
      <c r="K52" s="320"/>
      <c r="L52" s="369">
        <f>0.101%+L7</f>
        <v>1.7590000000000001E-2</v>
      </c>
      <c r="M52" s="268">
        <v>2.5000000000000001E-3</v>
      </c>
      <c r="N52" s="269">
        <v>4</v>
      </c>
      <c r="O52" s="304"/>
      <c r="P52" s="305"/>
      <c r="Q52" s="361"/>
      <c r="R52" s="362"/>
      <c r="S52" s="306" t="s">
        <v>693</v>
      </c>
      <c r="T52" s="275">
        <v>1113420</v>
      </c>
      <c r="U52" s="276">
        <v>80976</v>
      </c>
      <c r="V52" s="276">
        <v>80976</v>
      </c>
      <c r="W52" s="276">
        <v>80976</v>
      </c>
      <c r="X52" s="276">
        <v>80976</v>
      </c>
      <c r="Y52" s="276">
        <v>80976</v>
      </c>
      <c r="Z52" s="276">
        <v>80976</v>
      </c>
      <c r="AA52" s="276">
        <v>80976</v>
      </c>
      <c r="AB52" s="276">
        <v>80976</v>
      </c>
      <c r="AC52" s="276">
        <v>80976</v>
      </c>
      <c r="AD52" s="276">
        <v>80976</v>
      </c>
      <c r="AE52" s="276">
        <v>303660</v>
      </c>
      <c r="AF52" s="277">
        <f t="shared" si="1"/>
        <v>870492</v>
      </c>
      <c r="AG52" s="278"/>
      <c r="AH52" s="278"/>
    </row>
    <row r="53" spans="1:120" s="296" customFormat="1" ht="15.75" thickBot="1" x14ac:dyDescent="0.3">
      <c r="A53" s="280"/>
      <c r="B53" s="281"/>
      <c r="C53" s="282"/>
      <c r="D53" s="282"/>
      <c r="E53" s="284"/>
      <c r="F53" s="284"/>
      <c r="G53" s="285"/>
      <c r="H53" s="286"/>
      <c r="I53" s="402"/>
      <c r="J53" s="319"/>
      <c r="K53" s="320"/>
      <c r="L53" s="282"/>
      <c r="M53" s="282"/>
      <c r="N53" s="282"/>
      <c r="O53" s="304"/>
      <c r="P53" s="305"/>
      <c r="Q53" s="361"/>
      <c r="R53" s="362"/>
      <c r="S53" s="292" t="s">
        <v>695</v>
      </c>
      <c r="T53" s="293"/>
      <c r="U53" s="294">
        <f>((SUM(U52:$AE52))*($L52+$M52))</f>
        <v>22368.607800000002</v>
      </c>
      <c r="V53" s="294">
        <f>((SUM(V52:$AE52))*($L52+$M52))</f>
        <v>20741.79996</v>
      </c>
      <c r="W53" s="294">
        <f>((SUM(W52:$AE52))*($L52+$M52))</f>
        <v>19114.992119999999</v>
      </c>
      <c r="X53" s="294">
        <f>((SUM(X52:$AE52))*($L52+$M52))</f>
        <v>17488.184280000001</v>
      </c>
      <c r="Y53" s="294">
        <f>((SUM(Y52:$AE52))*($L52+$M52))</f>
        <v>15861.37644</v>
      </c>
      <c r="Z53" s="294">
        <f>((SUM(Z52:$AE52))*($L52+$M52))</f>
        <v>14234.568600000001</v>
      </c>
      <c r="AA53" s="294">
        <f>((SUM(AA52:$AE52))*($L52+$M52))</f>
        <v>12607.760760000001</v>
      </c>
      <c r="AB53" s="294">
        <f>((SUM(AB52:$AE52))*($L52+$M52))</f>
        <v>10980.95292</v>
      </c>
      <c r="AC53" s="294">
        <f>((SUM(AC52:$AE52))*($L52+$M52))</f>
        <v>9354.1450800000002</v>
      </c>
      <c r="AD53" s="294">
        <f>((SUM(AD52:$AE52))*($L52+$M52))</f>
        <v>7727.3372399999998</v>
      </c>
      <c r="AE53" s="294">
        <f>((SUM(AE52:$AE52))*($L52+$M52))*4</f>
        <v>24402.117600000001</v>
      </c>
      <c r="AF53" s="295">
        <f t="shared" si="1"/>
        <v>112656.44291999999</v>
      </c>
      <c r="AG53" s="278"/>
      <c r="AH53" s="278"/>
    </row>
    <row r="54" spans="1:120" s="296" customFormat="1" x14ac:dyDescent="0.2">
      <c r="A54" s="258">
        <v>15</v>
      </c>
      <c r="B54" s="259" t="s">
        <v>808</v>
      </c>
      <c r="C54" s="260" t="s">
        <v>809</v>
      </c>
      <c r="D54" s="313" t="s">
        <v>810</v>
      </c>
      <c r="E54" s="355"/>
      <c r="F54" s="358" t="s">
        <v>811</v>
      </c>
      <c r="G54" s="315" t="s">
        <v>812</v>
      </c>
      <c r="H54" s="264"/>
      <c r="I54" s="265">
        <v>186392</v>
      </c>
      <c r="J54" s="264"/>
      <c r="K54" s="266">
        <f>J54/0.702804</f>
        <v>0</v>
      </c>
      <c r="L54" s="369">
        <f>0.101%+$L$7</f>
        <v>1.7590000000000001E-2</v>
      </c>
      <c r="M54" s="268">
        <v>2.5000000000000001E-3</v>
      </c>
      <c r="N54" s="269">
        <v>4</v>
      </c>
      <c r="O54" s="270"/>
      <c r="P54" s="271">
        <v>0</v>
      </c>
      <c r="Q54" s="272"/>
      <c r="R54" s="273"/>
      <c r="S54" s="306" t="s">
        <v>693</v>
      </c>
      <c r="T54" s="275"/>
      <c r="U54" s="276">
        <v>16907.599999999999</v>
      </c>
      <c r="V54" s="276">
        <v>0</v>
      </c>
      <c r="W54" s="276">
        <v>12992</v>
      </c>
      <c r="X54" s="276">
        <v>17360</v>
      </c>
      <c r="Y54" s="276">
        <v>17360</v>
      </c>
      <c r="Z54" s="276">
        <v>15080</v>
      </c>
      <c r="AA54" s="276">
        <v>8240</v>
      </c>
      <c r="AB54" s="276">
        <v>8240</v>
      </c>
      <c r="AC54" s="276">
        <v>8240</v>
      </c>
      <c r="AD54" s="276">
        <v>8240</v>
      </c>
      <c r="AE54" s="276">
        <v>73732.399999999994</v>
      </c>
      <c r="AF54" s="277">
        <f t="shared" si="1"/>
        <v>156492.4</v>
      </c>
      <c r="AG54" s="278"/>
      <c r="AH54" s="278"/>
    </row>
    <row r="55" spans="1:120" s="296" customFormat="1" ht="15.75" thickBot="1" x14ac:dyDescent="0.3">
      <c r="A55" s="280"/>
      <c r="B55" s="281" t="s">
        <v>813</v>
      </c>
      <c r="C55" s="282"/>
      <c r="D55" s="282"/>
      <c r="E55" s="284"/>
      <c r="F55" s="284"/>
      <c r="G55" s="285"/>
      <c r="H55" s="286"/>
      <c r="I55" s="318"/>
      <c r="J55" s="319"/>
      <c r="K55" s="320"/>
      <c r="L55" s="282"/>
      <c r="M55" s="282"/>
      <c r="N55" s="282"/>
      <c r="O55" s="289"/>
      <c r="P55" s="288"/>
      <c r="Q55" s="311"/>
      <c r="R55" s="312"/>
      <c r="S55" s="306" t="s">
        <v>695</v>
      </c>
      <c r="T55" s="293"/>
      <c r="U55" s="294">
        <f>((SUM(U54:$AE54))*($L54+$M54))</f>
        <v>3744.61528</v>
      </c>
      <c r="V55" s="294">
        <f>((SUM(V54:$AE54))*($L54+$M54))</f>
        <v>3404.9415960000001</v>
      </c>
      <c r="W55" s="294">
        <f>((SUM(W54:$AE54))*($L54+$M54))</f>
        <v>3404.9415960000001</v>
      </c>
      <c r="X55" s="294">
        <f>((SUM(X54:$AE54))*($L54+$M54))</f>
        <v>3143.9323159999999</v>
      </c>
      <c r="Y55" s="294">
        <f>((SUM(Y54:$AE54))*($L54+$M54))</f>
        <v>2795.1699159999998</v>
      </c>
      <c r="Z55" s="294">
        <f>((SUM(Z54:$AE54))*($L54+$M54))</f>
        <v>2446.4075159999998</v>
      </c>
      <c r="AA55" s="294">
        <f>((SUM(AA54:$AE54))*($L54+$M54))</f>
        <v>2143.4503159999999</v>
      </c>
      <c r="AB55" s="294">
        <f>((SUM(AB54:$AE54))*($L54+$M54))</f>
        <v>1977.9087159999999</v>
      </c>
      <c r="AC55" s="294">
        <f>((SUM(AC54:$AE54))*($L54+$M54))</f>
        <v>1812.3671159999999</v>
      </c>
      <c r="AD55" s="294">
        <f>((SUM(AD54:$AE54))*($L54+$M54))</f>
        <v>1646.8255159999999</v>
      </c>
      <c r="AE55" s="294">
        <f>((SUM(AE54:$AE54))*($L54+$M54))*10</f>
        <v>14812.83916</v>
      </c>
      <c r="AF55" s="295">
        <f t="shared" si="1"/>
        <v>30778.900571999999</v>
      </c>
      <c r="AG55" s="278"/>
      <c r="AH55" s="278"/>
    </row>
    <row r="56" spans="1:120" s="296" customFormat="1" x14ac:dyDescent="0.2">
      <c r="A56" s="258">
        <v>16</v>
      </c>
      <c r="B56" s="261" t="s">
        <v>814</v>
      </c>
      <c r="C56" s="260" t="s">
        <v>815</v>
      </c>
      <c r="D56" s="313" t="s">
        <v>816</v>
      </c>
      <c r="E56" s="355"/>
      <c r="F56" s="358" t="s">
        <v>817</v>
      </c>
      <c r="G56" s="315" t="s">
        <v>818</v>
      </c>
      <c r="H56" s="264"/>
      <c r="I56" s="265">
        <v>46991.33</v>
      </c>
      <c r="J56" s="264"/>
      <c r="K56" s="266">
        <f>J56/0.702804</f>
        <v>0</v>
      </c>
      <c r="L56" s="369">
        <f>0.101%+$L$7</f>
        <v>1.7590000000000001E-2</v>
      </c>
      <c r="M56" s="268">
        <v>2.5000000000000001E-3</v>
      </c>
      <c r="N56" s="269">
        <v>4</v>
      </c>
      <c r="O56" s="270"/>
      <c r="P56" s="271">
        <v>0</v>
      </c>
      <c r="Q56" s="272"/>
      <c r="R56" s="273"/>
      <c r="S56" s="274" t="s">
        <v>693</v>
      </c>
      <c r="T56" s="276"/>
      <c r="U56" s="276"/>
      <c r="V56" s="276">
        <v>9883</v>
      </c>
      <c r="W56" s="276">
        <v>9896</v>
      </c>
      <c r="X56" s="276">
        <v>9896</v>
      </c>
      <c r="Y56" s="276">
        <v>9896</v>
      </c>
      <c r="Z56" s="276">
        <v>7420.33</v>
      </c>
      <c r="AA56" s="316">
        <v>0</v>
      </c>
      <c r="AB56" s="316">
        <v>0</v>
      </c>
      <c r="AC56" s="316">
        <v>0</v>
      </c>
      <c r="AD56" s="316">
        <v>0</v>
      </c>
      <c r="AE56" s="316">
        <v>0</v>
      </c>
      <c r="AF56" s="277">
        <f t="shared" si="1"/>
        <v>27212.33</v>
      </c>
      <c r="AG56" s="278"/>
      <c r="AH56" s="278"/>
    </row>
    <row r="57" spans="1:120" s="296" customFormat="1" ht="15.75" thickBot="1" x14ac:dyDescent="0.3">
      <c r="A57" s="280"/>
      <c r="B57" s="281"/>
      <c r="C57" s="282"/>
      <c r="D57" s="282"/>
      <c r="E57" s="284"/>
      <c r="F57" s="284" t="s">
        <v>819</v>
      </c>
      <c r="G57" s="285"/>
      <c r="H57" s="286"/>
      <c r="I57" s="318"/>
      <c r="J57" s="319"/>
      <c r="K57" s="320"/>
      <c r="L57" s="282"/>
      <c r="M57" s="282"/>
      <c r="N57" s="282"/>
      <c r="O57" s="289"/>
      <c r="P57" s="288"/>
      <c r="Q57" s="311"/>
      <c r="R57" s="312"/>
      <c r="S57" s="292" t="s">
        <v>695</v>
      </c>
      <c r="T57" s="376"/>
      <c r="U57" s="376"/>
      <c r="V57" s="294">
        <f>((SUM(V56:$AE56))*($L56+$M56))</f>
        <v>944.05581970000003</v>
      </c>
      <c r="W57" s="294">
        <f>((SUM(W56:$AE56))*($L56+$M56))</f>
        <v>745.50634969999999</v>
      </c>
      <c r="X57" s="294">
        <f>((SUM(X56:$AE56))*($L56+$M56))</f>
        <v>546.69570970000007</v>
      </c>
      <c r="Y57" s="294">
        <f>((SUM(Y56:$AE56))*($L56+$M56))</f>
        <v>347.88506970000003</v>
      </c>
      <c r="Z57" s="294">
        <f>((SUM(Z56:$AE56))*($L56+$M56))</f>
        <v>149.0744297</v>
      </c>
      <c r="AA57" s="321">
        <f>((SUM(AA56:$AE56))*($L56+$M56))</f>
        <v>0</v>
      </c>
      <c r="AB57" s="321">
        <f>((SUM(AB56:$AE56))*($L56+$M56))</f>
        <v>0</v>
      </c>
      <c r="AC57" s="321">
        <f>((SUM(AC56:$AE56))*($L56+$M56))</f>
        <v>0</v>
      </c>
      <c r="AD57" s="321">
        <f>((SUM(AD56:$AE56))*($L56+$M56))</f>
        <v>0</v>
      </c>
      <c r="AE57" s="321">
        <f>((SUM(AE56:$AE56))*($L56+$M56))</f>
        <v>0</v>
      </c>
      <c r="AF57" s="295">
        <f t="shared" si="1"/>
        <v>1043.6552091000001</v>
      </c>
      <c r="AG57" s="278"/>
      <c r="AH57" s="278"/>
    </row>
    <row r="58" spans="1:120" s="405" customFormat="1" x14ac:dyDescent="0.2">
      <c r="A58" s="258">
        <v>17</v>
      </c>
      <c r="B58" s="261" t="s">
        <v>820</v>
      </c>
      <c r="C58" s="260" t="s">
        <v>821</v>
      </c>
      <c r="D58" s="313" t="s">
        <v>822</v>
      </c>
      <c r="E58" s="403"/>
      <c r="F58" s="358" t="s">
        <v>811</v>
      </c>
      <c r="G58" s="315" t="s">
        <v>823</v>
      </c>
      <c r="H58" s="264"/>
      <c r="I58" s="265">
        <v>581242</v>
      </c>
      <c r="J58" s="264"/>
      <c r="K58" s="266">
        <f>J58/0.702804</f>
        <v>0</v>
      </c>
      <c r="L58" s="369">
        <f>0.101%+$L$7</f>
        <v>1.7590000000000001E-2</v>
      </c>
      <c r="M58" s="268">
        <v>2.5000000000000001E-3</v>
      </c>
      <c r="N58" s="269">
        <v>4</v>
      </c>
      <c r="O58" s="270"/>
      <c r="P58" s="271">
        <v>0</v>
      </c>
      <c r="Q58" s="272"/>
      <c r="R58" s="273"/>
      <c r="S58" s="306" t="s">
        <v>693</v>
      </c>
      <c r="T58" s="404"/>
      <c r="U58" s="276"/>
      <c r="V58" s="276"/>
      <c r="W58" s="276">
        <v>58880</v>
      </c>
      <c r="X58" s="276">
        <v>58116</v>
      </c>
      <c r="Y58" s="276">
        <v>58116</v>
      </c>
      <c r="Z58" s="276">
        <v>58116</v>
      </c>
      <c r="AA58" s="276">
        <v>58116</v>
      </c>
      <c r="AB58" s="276">
        <v>58116</v>
      </c>
      <c r="AC58" s="276">
        <v>58116</v>
      </c>
      <c r="AD58" s="276">
        <v>58116</v>
      </c>
      <c r="AE58" s="276">
        <v>115550.12</v>
      </c>
      <c r="AF58" s="277">
        <f t="shared" si="1"/>
        <v>522362.12</v>
      </c>
      <c r="AG58" s="278"/>
      <c r="AH58" s="278"/>
    </row>
    <row r="59" spans="1:120" s="405" customFormat="1" ht="15.75" thickBot="1" x14ac:dyDescent="0.3">
      <c r="A59" s="280"/>
      <c r="B59" s="406"/>
      <c r="C59" s="282"/>
      <c r="D59" s="407"/>
      <c r="E59" s="408"/>
      <c r="F59" s="284"/>
      <c r="G59" s="285"/>
      <c r="H59" s="286"/>
      <c r="I59" s="318"/>
      <c r="J59" s="319"/>
      <c r="K59" s="320"/>
      <c r="L59" s="282"/>
      <c r="M59" s="282"/>
      <c r="N59" s="282"/>
      <c r="O59" s="289"/>
      <c r="P59" s="288"/>
      <c r="Q59" s="311"/>
      <c r="R59" s="312"/>
      <c r="S59" s="292" t="s">
        <v>695</v>
      </c>
      <c r="T59" s="409"/>
      <c r="U59" s="376"/>
      <c r="V59" s="376"/>
      <c r="W59" s="294">
        <f>((SUM(W58:$AE58))*($L58+$M58))</f>
        <v>11677.1541908</v>
      </c>
      <c r="X59" s="294">
        <f>((SUM(X58:$AE58))*($L58+$M58))</f>
        <v>10494.2549908</v>
      </c>
      <c r="Y59" s="294">
        <f>((SUM(Y58:$AE58))*($L58+$M58))</f>
        <v>9326.7045507999992</v>
      </c>
      <c r="Z59" s="294">
        <f>((SUM(Z58:$AE58))*($L58+$M58))</f>
        <v>8159.1541108000001</v>
      </c>
      <c r="AA59" s="294">
        <f>((SUM(AA58:$AE58))*($L58+$M58))</f>
        <v>6991.6036708000001</v>
      </c>
      <c r="AB59" s="294">
        <f>((SUM(AB58:$AE58))*($L58+$M58))</f>
        <v>5824.0532308000002</v>
      </c>
      <c r="AC59" s="294">
        <f>((SUM(AC58:$AE58))*($L58+$M58))</f>
        <v>4656.5027908000002</v>
      </c>
      <c r="AD59" s="294">
        <f>((SUM(AD58:$AE58))*($L58+$M58))</f>
        <v>3488.9523507999997</v>
      </c>
      <c r="AE59" s="294">
        <f>((SUM(AE58:$AE58))*($L58+$M58))*3</f>
        <v>6964.2057323999998</v>
      </c>
      <c r="AF59" s="295">
        <f t="shared" si="1"/>
        <v>55905.431427999996</v>
      </c>
      <c r="AG59" s="278"/>
      <c r="AH59" s="278"/>
    </row>
    <row r="60" spans="1:120" s="405" customFormat="1" x14ac:dyDescent="0.2">
      <c r="A60" s="258">
        <v>18</v>
      </c>
      <c r="B60" s="261" t="s">
        <v>824</v>
      </c>
      <c r="C60" s="260" t="s">
        <v>825</v>
      </c>
      <c r="D60" s="313" t="s">
        <v>826</v>
      </c>
      <c r="E60" s="403"/>
      <c r="F60" s="358" t="s">
        <v>827</v>
      </c>
      <c r="G60" s="315" t="s">
        <v>828</v>
      </c>
      <c r="H60" s="264"/>
      <c r="I60" s="265">
        <v>141294</v>
      </c>
      <c r="J60" s="264"/>
      <c r="K60" s="266">
        <f>J60/0.702804</f>
        <v>0</v>
      </c>
      <c r="L60" s="369">
        <f>0.101%+$L$7</f>
        <v>1.7590000000000001E-2</v>
      </c>
      <c r="M60" s="268">
        <v>2.5000000000000001E-3</v>
      </c>
      <c r="N60" s="269">
        <v>4</v>
      </c>
      <c r="O60" s="270"/>
      <c r="P60" s="271">
        <v>0</v>
      </c>
      <c r="Q60" s="272"/>
      <c r="R60" s="273"/>
      <c r="S60" s="306" t="s">
        <v>693</v>
      </c>
      <c r="T60" s="404"/>
      <c r="U60" s="276"/>
      <c r="V60" s="276"/>
      <c r="W60" s="276">
        <v>29739</v>
      </c>
      <c r="X60" s="276">
        <v>29748</v>
      </c>
      <c r="Y60" s="276">
        <v>29748</v>
      </c>
      <c r="Z60" s="276">
        <v>29748</v>
      </c>
      <c r="AA60" s="276">
        <v>22311</v>
      </c>
      <c r="AB60" s="316">
        <v>0</v>
      </c>
      <c r="AC60" s="316">
        <v>0</v>
      </c>
      <c r="AD60" s="316">
        <v>0</v>
      </c>
      <c r="AE60" s="316">
        <v>0</v>
      </c>
      <c r="AF60" s="277">
        <f t="shared" si="1"/>
        <v>111555</v>
      </c>
      <c r="AG60" s="278"/>
      <c r="AH60" s="278"/>
    </row>
    <row r="61" spans="1:120" s="405" customFormat="1" ht="15.75" thickBot="1" x14ac:dyDescent="0.3">
      <c r="A61" s="280"/>
      <c r="B61" s="406"/>
      <c r="C61" s="282"/>
      <c r="D61" s="407"/>
      <c r="E61" s="408"/>
      <c r="F61" s="284"/>
      <c r="G61" s="285"/>
      <c r="H61" s="286"/>
      <c r="I61" s="318"/>
      <c r="J61" s="319"/>
      <c r="K61" s="320"/>
      <c r="L61" s="282"/>
      <c r="M61" s="282"/>
      <c r="N61" s="282"/>
      <c r="O61" s="289"/>
      <c r="P61" s="288"/>
      <c r="Q61" s="311"/>
      <c r="R61" s="312"/>
      <c r="S61" s="292" t="s">
        <v>695</v>
      </c>
      <c r="T61" s="409"/>
      <c r="U61" s="376"/>
      <c r="V61" s="376"/>
      <c r="W61" s="294">
        <f>((SUM(W60:$AE60))*($L60+$M60))</f>
        <v>2838.5964600000002</v>
      </c>
      <c r="X61" s="294">
        <f>((SUM(X60:$AE60))*($L60+$M60))</f>
        <v>2241.1399500000002</v>
      </c>
      <c r="Y61" s="294">
        <f>((SUM(Y60:$AE60))*($L60+$M60))</f>
        <v>1643.50263</v>
      </c>
      <c r="Z61" s="294">
        <f>((SUM(Z60:$AE60))*($L60+$M60))</f>
        <v>1045.8653099999999</v>
      </c>
      <c r="AA61" s="294">
        <f>((SUM(AA60:$AE60))*($L60+$M60))</f>
        <v>448.22798999999998</v>
      </c>
      <c r="AB61" s="321">
        <f>((SUM(AB60:$AE60))*($L60+$M60))</f>
        <v>0</v>
      </c>
      <c r="AC61" s="321">
        <f>((SUM(AC60:$AE60))*($L60+$M60))</f>
        <v>0</v>
      </c>
      <c r="AD61" s="321">
        <f>((SUM(AD60:$AE60))*($L60+$M60))</f>
        <v>0</v>
      </c>
      <c r="AE61" s="321">
        <f>((SUM(AE60:$AE60))*($L60+$M60))</f>
        <v>0</v>
      </c>
      <c r="AF61" s="295">
        <f t="shared" si="1"/>
        <v>5378.7358800000002</v>
      </c>
      <c r="AG61" s="278"/>
      <c r="AH61" s="278"/>
    </row>
    <row r="62" spans="1:120" s="405" customFormat="1" x14ac:dyDescent="0.2">
      <c r="A62" s="258">
        <v>19</v>
      </c>
      <c r="B62" s="261" t="s">
        <v>829</v>
      </c>
      <c r="C62" s="260" t="s">
        <v>830</v>
      </c>
      <c r="D62" s="313" t="s">
        <v>831</v>
      </c>
      <c r="E62" s="403"/>
      <c r="F62" s="358" t="s">
        <v>811</v>
      </c>
      <c r="G62" s="315" t="s">
        <v>823</v>
      </c>
      <c r="H62" s="264"/>
      <c r="I62" s="265">
        <v>697002</v>
      </c>
      <c r="J62" s="264"/>
      <c r="K62" s="266">
        <f>J62/0.702804</f>
        <v>0</v>
      </c>
      <c r="L62" s="369">
        <f>0.101%+$L$7</f>
        <v>1.7590000000000001E-2</v>
      </c>
      <c r="M62" s="268">
        <v>2.5000000000000001E-3</v>
      </c>
      <c r="N62" s="269">
        <v>4</v>
      </c>
      <c r="O62" s="270"/>
      <c r="P62" s="271">
        <v>0</v>
      </c>
      <c r="Q62" s="272"/>
      <c r="R62" s="273"/>
      <c r="S62" s="306" t="s">
        <v>693</v>
      </c>
      <c r="T62" s="404"/>
      <c r="U62" s="276"/>
      <c r="V62" s="276"/>
      <c r="W62" s="276">
        <v>36654</v>
      </c>
      <c r="X62" s="276">
        <f>73372</f>
        <v>73372</v>
      </c>
      <c r="Y62" s="276">
        <v>73372</v>
      </c>
      <c r="Z62" s="276">
        <v>73372</v>
      </c>
      <c r="AA62" s="276">
        <v>73372</v>
      </c>
      <c r="AB62" s="276">
        <v>73372</v>
      </c>
      <c r="AC62" s="276">
        <v>73372</v>
      </c>
      <c r="AD62" s="276">
        <v>73372</v>
      </c>
      <c r="AE62" s="276">
        <f>146744</f>
        <v>146744</v>
      </c>
      <c r="AF62" s="277">
        <f t="shared" si="1"/>
        <v>660348</v>
      </c>
      <c r="AG62" s="278"/>
      <c r="AH62" s="278"/>
    </row>
    <row r="63" spans="1:120" s="405" customFormat="1" ht="15.75" thickBot="1" x14ac:dyDescent="0.3">
      <c r="A63" s="280"/>
      <c r="B63" s="406"/>
      <c r="C63" s="282"/>
      <c r="D63" s="407"/>
      <c r="E63" s="408"/>
      <c r="F63" s="284"/>
      <c r="G63" s="285"/>
      <c r="H63" s="286"/>
      <c r="I63" s="318"/>
      <c r="J63" s="319"/>
      <c r="K63" s="320"/>
      <c r="L63" s="282"/>
      <c r="M63" s="282"/>
      <c r="N63" s="282"/>
      <c r="O63" s="289"/>
      <c r="P63" s="288"/>
      <c r="Q63" s="311"/>
      <c r="R63" s="312"/>
      <c r="S63" s="292" t="s">
        <v>695</v>
      </c>
      <c r="T63" s="409"/>
      <c r="U63" s="376"/>
      <c r="V63" s="376"/>
      <c r="W63" s="294">
        <f>((SUM(W62:$AE62))*($L62+$M62))</f>
        <v>14002.77018</v>
      </c>
      <c r="X63" s="294">
        <f>((SUM(X62:$AE62))*($L62+$M62))</f>
        <v>13266.391320000001</v>
      </c>
      <c r="Y63" s="294">
        <f>((SUM(Y62:$AE62))*($L62+$M62))</f>
        <v>11792.34784</v>
      </c>
      <c r="Z63" s="294">
        <f>((SUM(Z62:$AE62))*($L62+$M62))</f>
        <v>10318.30436</v>
      </c>
      <c r="AA63" s="294">
        <f>((SUM(AA62:$AE62))*($L62+$M62))</f>
        <v>8844.2608799999998</v>
      </c>
      <c r="AB63" s="294">
        <f>((SUM(AB62:$AE62))*($L62+$M62))</f>
        <v>7370.2174000000005</v>
      </c>
      <c r="AC63" s="294">
        <f>((SUM(AC62:$AE62))*($L62+$M62))</f>
        <v>5896.1739200000002</v>
      </c>
      <c r="AD63" s="294">
        <f>((SUM(AD62:$AE62))*($L62+$M62))</f>
        <v>4422.1304399999999</v>
      </c>
      <c r="AE63" s="294">
        <f>((SUM(AE62:$AE62))*($L62+$M62))*4</f>
        <v>11792.34784</v>
      </c>
      <c r="AF63" s="295">
        <f t="shared" si="1"/>
        <v>73702.173999999999</v>
      </c>
      <c r="AG63" s="278"/>
      <c r="AH63" s="278"/>
    </row>
    <row r="64" spans="1:120" s="296" customFormat="1" ht="12.6" customHeight="1" x14ac:dyDescent="0.2">
      <c r="A64" s="258">
        <v>20</v>
      </c>
      <c r="B64" s="261" t="s">
        <v>832</v>
      </c>
      <c r="C64" s="260" t="s">
        <v>833</v>
      </c>
      <c r="D64" s="313" t="s">
        <v>834</v>
      </c>
      <c r="E64" s="355"/>
      <c r="F64" s="358" t="s">
        <v>817</v>
      </c>
      <c r="G64" s="315" t="s">
        <v>818</v>
      </c>
      <c r="H64" s="264"/>
      <c r="I64" s="265">
        <f>53218</f>
        <v>53218</v>
      </c>
      <c r="J64" s="264"/>
      <c r="K64" s="266">
        <f>J64/0.702804</f>
        <v>0</v>
      </c>
      <c r="L64" s="369">
        <f>0.101%+$L$7</f>
        <v>1.7590000000000001E-2</v>
      </c>
      <c r="M64" s="268">
        <v>2.5000000000000001E-3</v>
      </c>
      <c r="N64" s="269">
        <v>4</v>
      </c>
      <c r="O64" s="270"/>
      <c r="P64" s="271">
        <v>0</v>
      </c>
      <c r="Q64" s="272"/>
      <c r="R64" s="273"/>
      <c r="S64" s="306" t="s">
        <v>693</v>
      </c>
      <c r="T64" s="276"/>
      <c r="U64" s="276"/>
      <c r="V64" s="276">
        <v>11430</v>
      </c>
      <c r="W64" s="276">
        <v>11448</v>
      </c>
      <c r="X64" s="276">
        <v>11448</v>
      </c>
      <c r="Y64" s="276">
        <v>11448</v>
      </c>
      <c r="Z64" s="276">
        <v>7444</v>
      </c>
      <c r="AA64" s="316">
        <v>0</v>
      </c>
      <c r="AB64" s="316">
        <v>0</v>
      </c>
      <c r="AC64" s="316">
        <v>0</v>
      </c>
      <c r="AD64" s="316">
        <v>0</v>
      </c>
      <c r="AE64" s="316">
        <v>0</v>
      </c>
      <c r="AF64" s="277">
        <f t="shared" si="1"/>
        <v>30340</v>
      </c>
      <c r="AG64" s="278"/>
      <c r="AH64" s="278"/>
    </row>
    <row r="65" spans="1:34" s="296" customFormat="1" ht="15.75" thickBot="1" x14ac:dyDescent="0.3">
      <c r="A65" s="280"/>
      <c r="B65" s="406"/>
      <c r="C65" s="282"/>
      <c r="D65" s="282"/>
      <c r="E65" s="284"/>
      <c r="F65" s="284"/>
      <c r="G65" s="285"/>
      <c r="H65" s="286"/>
      <c r="I65" s="318"/>
      <c r="J65" s="319"/>
      <c r="K65" s="320"/>
      <c r="L65" s="282"/>
      <c r="M65" s="282"/>
      <c r="N65" s="282"/>
      <c r="O65" s="289"/>
      <c r="P65" s="288"/>
      <c r="Q65" s="311"/>
      <c r="R65" s="312"/>
      <c r="S65" s="292" t="s">
        <v>695</v>
      </c>
      <c r="T65" s="376"/>
      <c r="U65" s="376"/>
      <c r="V65" s="294">
        <f>((SUM(V64:$AE64))*($L64+$M64))</f>
        <v>1069.1496199999999</v>
      </c>
      <c r="W65" s="294">
        <f>((SUM(W64:$AE64))*($L64+$M64))</f>
        <v>839.52092000000005</v>
      </c>
      <c r="X65" s="294">
        <f>((SUM(X64:$AE64))*($L64+$M64))</f>
        <v>609.53060000000005</v>
      </c>
      <c r="Y65" s="294">
        <f>((SUM(Y64:$AE64))*($L64+$M64))</f>
        <v>379.54028</v>
      </c>
      <c r="Z65" s="294">
        <f>((SUM(Z64:$AE64))*($L64+$M64))</f>
        <v>149.54996</v>
      </c>
      <c r="AA65" s="321">
        <f>((SUM(AA64:$AE64))*($L64+$M64))</f>
        <v>0</v>
      </c>
      <c r="AB65" s="321">
        <f>((SUM(AB64:$AE64))*($L64+$M64))</f>
        <v>0</v>
      </c>
      <c r="AC65" s="321">
        <f>((SUM(AC64:$AE64))*($L64+$M64))</f>
        <v>0</v>
      </c>
      <c r="AD65" s="321">
        <f>((SUM(AD64:$AE64))*($L64+$M64))</f>
        <v>0</v>
      </c>
      <c r="AE65" s="321">
        <f>((SUM(AE64:$AE64))*($L64+$M64))</f>
        <v>0</v>
      </c>
      <c r="AF65" s="295">
        <f t="shared" si="1"/>
        <v>1138.62084</v>
      </c>
      <c r="AG65" s="278"/>
      <c r="AH65" s="278"/>
    </row>
    <row r="66" spans="1:34" s="296" customFormat="1" ht="12.6" customHeight="1" x14ac:dyDescent="0.2">
      <c r="A66" s="258">
        <v>21</v>
      </c>
      <c r="B66" s="261" t="s">
        <v>835</v>
      </c>
      <c r="C66" s="260" t="s">
        <v>836</v>
      </c>
      <c r="D66" s="313" t="s">
        <v>837</v>
      </c>
      <c r="E66" s="355"/>
      <c r="F66" s="358" t="s">
        <v>838</v>
      </c>
      <c r="G66" s="315" t="s">
        <v>839</v>
      </c>
      <c r="H66" s="264"/>
      <c r="I66" s="265">
        <v>496340</v>
      </c>
      <c r="J66" s="264"/>
      <c r="K66" s="266">
        <f>J66/0.702804</f>
        <v>0</v>
      </c>
      <c r="L66" s="369">
        <f>0.101%+$L$7</f>
        <v>1.7590000000000001E-2</v>
      </c>
      <c r="M66" s="268">
        <v>2.5000000000000001E-3</v>
      </c>
      <c r="N66" s="269">
        <v>4</v>
      </c>
      <c r="O66" s="270"/>
      <c r="P66" s="271">
        <v>0</v>
      </c>
      <c r="Q66" s="272"/>
      <c r="R66" s="273"/>
      <c r="S66" s="306" t="s">
        <v>693</v>
      </c>
      <c r="T66" s="276"/>
      <c r="U66" s="276"/>
      <c r="V66" s="276"/>
      <c r="W66" s="276"/>
      <c r="X66" s="276">
        <v>26815</v>
      </c>
      <c r="Y66" s="276">
        <v>47782.7</v>
      </c>
      <c r="Z66" s="276">
        <v>47782.7</v>
      </c>
      <c r="AA66" s="276">
        <v>47782.7</v>
      </c>
      <c r="AB66" s="276">
        <v>47782.7</v>
      </c>
      <c r="AC66" s="276">
        <v>47782.7</v>
      </c>
      <c r="AD66" s="276">
        <v>47782.7</v>
      </c>
      <c r="AE66" s="276">
        <v>182828.79999999999</v>
      </c>
      <c r="AF66" s="277">
        <f t="shared" si="1"/>
        <v>496340</v>
      </c>
      <c r="AG66" s="278"/>
      <c r="AH66" s="278"/>
    </row>
    <row r="67" spans="1:34" s="296" customFormat="1" ht="15.75" thickBot="1" x14ac:dyDescent="0.3">
      <c r="A67" s="280"/>
      <c r="B67" s="406" t="s">
        <v>840</v>
      </c>
      <c r="C67" s="282"/>
      <c r="D67" s="282" t="s">
        <v>841</v>
      </c>
      <c r="E67" s="284"/>
      <c r="F67" s="284"/>
      <c r="G67" s="285"/>
      <c r="H67" s="286"/>
      <c r="I67" s="318"/>
      <c r="J67" s="319"/>
      <c r="K67" s="320"/>
      <c r="L67" s="282"/>
      <c r="M67" s="282"/>
      <c r="N67" s="282"/>
      <c r="O67" s="289"/>
      <c r="P67" s="288"/>
      <c r="Q67" s="311"/>
      <c r="R67" s="312"/>
      <c r="S67" s="292" t="s">
        <v>695</v>
      </c>
      <c r="T67" s="376"/>
      <c r="U67" s="376"/>
      <c r="V67" s="376"/>
      <c r="W67" s="376"/>
      <c r="X67" s="294">
        <f>((SUM(X66:$AE66))*($L66+$M66))</f>
        <v>9971.4706000000006</v>
      </c>
      <c r="Y67" s="294">
        <f>((SUM(Y66:$AE66))*($L66+$M66))</f>
        <v>9432.7572500000006</v>
      </c>
      <c r="Z67" s="294">
        <f>((SUM(Z66:$AE66))*($L66+$M66))</f>
        <v>8472.802807</v>
      </c>
      <c r="AA67" s="294">
        <f>((SUM(AA66:$AE66))*($L66+$M66))</f>
        <v>7512.8483639999995</v>
      </c>
      <c r="AB67" s="294">
        <f>((SUM(AB66:$AE66))*($L66+$M66))</f>
        <v>6552.893920999999</v>
      </c>
      <c r="AC67" s="294">
        <f>((SUM(AC66:$AE66))*($L66+$M66))</f>
        <v>5592.9394779999993</v>
      </c>
      <c r="AD67" s="294">
        <f>((SUM(AD66:$AE66))*($L66+$M66))</f>
        <v>4632.9850349999997</v>
      </c>
      <c r="AE67" s="294">
        <f>((SUM(AE66:$AE66))*($L66+$M66))*3</f>
        <v>11019.091775999999</v>
      </c>
      <c r="AF67" s="295">
        <f t="shared" si="1"/>
        <v>63187.789230999995</v>
      </c>
      <c r="AG67" s="278"/>
      <c r="AH67" s="278"/>
    </row>
    <row r="68" spans="1:34" s="296" customFormat="1" ht="12.6" customHeight="1" x14ac:dyDescent="0.2">
      <c r="A68" s="258">
        <v>22</v>
      </c>
      <c r="B68" s="261" t="s">
        <v>842</v>
      </c>
      <c r="C68" s="260" t="s">
        <v>843</v>
      </c>
      <c r="D68" s="313" t="s">
        <v>844</v>
      </c>
      <c r="E68" s="355"/>
      <c r="F68" s="358" t="s">
        <v>845</v>
      </c>
      <c r="G68" s="315" t="s">
        <v>846</v>
      </c>
      <c r="H68" s="264"/>
      <c r="I68" s="265">
        <v>96800</v>
      </c>
      <c r="J68" s="264"/>
      <c r="K68" s="266">
        <f>J68/0.702804</f>
        <v>0</v>
      </c>
      <c r="L68" s="369">
        <f>0.101%+$L$7</f>
        <v>1.7590000000000001E-2</v>
      </c>
      <c r="M68" s="268">
        <v>2.5000000000000001E-3</v>
      </c>
      <c r="N68" s="269">
        <v>4</v>
      </c>
      <c r="O68" s="270"/>
      <c r="P68" s="271">
        <v>0</v>
      </c>
      <c r="Q68" s="272"/>
      <c r="R68" s="273"/>
      <c r="S68" s="306" t="s">
        <v>693</v>
      </c>
      <c r="T68" s="276"/>
      <c r="U68" s="276"/>
      <c r="V68" s="276"/>
      <c r="W68" s="276"/>
      <c r="X68" s="276">
        <v>20375</v>
      </c>
      <c r="Y68" s="276">
        <v>20380</v>
      </c>
      <c r="Z68" s="276">
        <v>20380</v>
      </c>
      <c r="AA68" s="276">
        <v>20380</v>
      </c>
      <c r="AB68" s="276">
        <v>15285</v>
      </c>
      <c r="AC68" s="316">
        <v>0</v>
      </c>
      <c r="AD68" s="316">
        <v>0</v>
      </c>
      <c r="AE68" s="316">
        <v>0</v>
      </c>
      <c r="AF68" s="277">
        <f t="shared" si="1"/>
        <v>96800</v>
      </c>
      <c r="AG68" s="278"/>
      <c r="AH68" s="278"/>
    </row>
    <row r="69" spans="1:34" s="296" customFormat="1" ht="15.75" thickBot="1" x14ac:dyDescent="0.3">
      <c r="A69" s="280"/>
      <c r="B69" s="406" t="s">
        <v>847</v>
      </c>
      <c r="C69" s="282"/>
      <c r="D69" s="282"/>
      <c r="E69" s="284"/>
      <c r="F69" s="284"/>
      <c r="G69" s="285"/>
      <c r="H69" s="286"/>
      <c r="I69" s="318"/>
      <c r="J69" s="319"/>
      <c r="K69" s="320"/>
      <c r="L69" s="282"/>
      <c r="M69" s="282"/>
      <c r="N69" s="282"/>
      <c r="O69" s="289"/>
      <c r="P69" s="288"/>
      <c r="Q69" s="311"/>
      <c r="R69" s="312"/>
      <c r="S69" s="292" t="s">
        <v>695</v>
      </c>
      <c r="T69" s="376"/>
      <c r="U69" s="376"/>
      <c r="V69" s="376"/>
      <c r="W69" s="376"/>
      <c r="X69" s="294">
        <f>((SUM(X68:$AE68))*($L68+$M68))</f>
        <v>1944.712</v>
      </c>
      <c r="Y69" s="294">
        <f>((SUM(Y68:$AE68))*($L68+$M68))</f>
        <v>1535.37825</v>
      </c>
      <c r="Z69" s="294">
        <f>((SUM(Z68:$AE68))*($L68+$M68))</f>
        <v>1125.9440500000001</v>
      </c>
      <c r="AA69" s="294">
        <f>((SUM(AA68:$AE68))*($L68+$M68))</f>
        <v>716.50985000000003</v>
      </c>
      <c r="AB69" s="294">
        <f>((SUM(AB68:$AE68))*($L68+$M68))</f>
        <v>307.07565</v>
      </c>
      <c r="AC69" s="321">
        <f>((SUM(AC68:$AE68))*($L68+$M68))</f>
        <v>0</v>
      </c>
      <c r="AD69" s="321">
        <f>((SUM(AD68:$AE68))*($L68+$M68))</f>
        <v>0</v>
      </c>
      <c r="AE69" s="321">
        <f>((SUM(AE68:$AE68))*($L68+$M68))</f>
        <v>0</v>
      </c>
      <c r="AF69" s="295">
        <f t="shared" si="1"/>
        <v>5629.6198000000004</v>
      </c>
      <c r="AG69" s="278"/>
      <c r="AH69" s="278"/>
    </row>
    <row r="70" spans="1:34" s="296" customFormat="1" ht="13.15" customHeight="1" x14ac:dyDescent="0.2">
      <c r="A70" s="410">
        <v>23</v>
      </c>
      <c r="B70" s="686" t="s">
        <v>848</v>
      </c>
      <c r="C70" s="668" t="s">
        <v>849</v>
      </c>
      <c r="D70" s="692" t="s">
        <v>850</v>
      </c>
      <c r="E70" s="355"/>
      <c r="F70" s="703" t="s">
        <v>851</v>
      </c>
      <c r="G70" s="698" t="s">
        <v>852</v>
      </c>
      <c r="H70" s="264"/>
      <c r="I70" s="670">
        <v>5678344.2000000002</v>
      </c>
      <c r="J70" s="264"/>
      <c r="K70" s="266"/>
      <c r="L70" s="369">
        <f>$L$7</f>
        <v>1.6580000000000001E-2</v>
      </c>
      <c r="M70" s="268">
        <f>$M$7</f>
        <v>2.5000000000000001E-3</v>
      </c>
      <c r="N70" s="269"/>
      <c r="O70" s="270"/>
      <c r="P70" s="271"/>
      <c r="Q70" s="272"/>
      <c r="R70" s="273"/>
      <c r="S70" s="306" t="s">
        <v>693</v>
      </c>
      <c r="T70" s="276">
        <v>3976000</v>
      </c>
      <c r="U70" s="276"/>
      <c r="V70" s="276">
        <v>552592</v>
      </c>
      <c r="W70" s="276">
        <v>508856</v>
      </c>
      <c r="X70" s="276">
        <v>434960</v>
      </c>
      <c r="Y70" s="276">
        <v>395316</v>
      </c>
      <c r="Z70" s="276">
        <v>363420</v>
      </c>
      <c r="AA70" s="276">
        <v>344336</v>
      </c>
      <c r="AB70" s="276">
        <v>314856</v>
      </c>
      <c r="AC70" s="276">
        <v>305080</v>
      </c>
      <c r="AD70" s="276">
        <v>279984</v>
      </c>
      <c r="AE70" s="276">
        <v>1029192</v>
      </c>
      <c r="AF70" s="411">
        <f t="shared" si="1"/>
        <v>3467144</v>
      </c>
      <c r="AG70" s="278"/>
      <c r="AH70" s="278"/>
    </row>
    <row r="71" spans="1:34" s="296" customFormat="1" ht="15.75" thickBot="1" x14ac:dyDescent="0.3">
      <c r="A71" s="412"/>
      <c r="B71" s="702"/>
      <c r="C71" s="676"/>
      <c r="D71" s="669"/>
      <c r="E71" s="284"/>
      <c r="F71" s="676"/>
      <c r="G71" s="676"/>
      <c r="H71" s="286"/>
      <c r="I71" s="690"/>
      <c r="J71" s="319"/>
      <c r="K71" s="320"/>
      <c r="L71" s="282"/>
      <c r="M71" s="282"/>
      <c r="N71" s="282"/>
      <c r="O71" s="289"/>
      <c r="P71" s="288"/>
      <c r="Q71" s="311"/>
      <c r="R71" s="312"/>
      <c r="S71" s="292" t="s">
        <v>695</v>
      </c>
      <c r="T71" s="376"/>
      <c r="U71" s="376"/>
      <c r="V71" s="294">
        <v>6000</v>
      </c>
      <c r="W71" s="294">
        <v>9940</v>
      </c>
      <c r="X71" s="294">
        <f>((SUM(X70:$AE70))*($L70+$M70))</f>
        <v>66153.107520000005</v>
      </c>
      <c r="Y71" s="294">
        <f>((SUM(Y70:$AE70))*($L70+$M70))</f>
        <v>57854.070719999996</v>
      </c>
      <c r="Z71" s="294">
        <f>((SUM(Z70:$AE70))*($L70+$M70))</f>
        <v>50311.441440000002</v>
      </c>
      <c r="AA71" s="294">
        <f>((SUM(AA70:$AE70))*($L70+$M70))</f>
        <v>43377.387839999996</v>
      </c>
      <c r="AB71" s="294">
        <f>((SUM(AB70:$AE70))*($L70+$M70))</f>
        <v>36807.456959999996</v>
      </c>
      <c r="AC71" s="294">
        <f>((SUM(AC70:$AE70))*($L70+$M70))</f>
        <v>30800.00448</v>
      </c>
      <c r="AD71" s="294">
        <f>((SUM(AD70:$AE70))*($L70+$M70))</f>
        <v>24979.078079999999</v>
      </c>
      <c r="AE71" s="294">
        <f>((SUM(AE70:$AE70))*($L70+$M70))*6</f>
        <v>117821.90015999999</v>
      </c>
      <c r="AF71" s="413">
        <f t="shared" si="1"/>
        <v>428104.44719999994</v>
      </c>
      <c r="AG71" s="278"/>
      <c r="AH71" s="278"/>
    </row>
    <row r="72" spans="1:34" s="296" customFormat="1" ht="13.15" customHeight="1" x14ac:dyDescent="0.2">
      <c r="A72" s="410">
        <v>24</v>
      </c>
      <c r="B72" s="700" t="s">
        <v>853</v>
      </c>
      <c r="C72" s="692" t="s">
        <v>854</v>
      </c>
      <c r="D72" s="692" t="s">
        <v>855</v>
      </c>
      <c r="E72" s="355"/>
      <c r="F72" s="699" t="s">
        <v>856</v>
      </c>
      <c r="G72" s="692" t="s">
        <v>857</v>
      </c>
      <c r="H72" s="264"/>
      <c r="I72" s="670">
        <v>2075409</v>
      </c>
      <c r="J72" s="264"/>
      <c r="K72" s="266"/>
      <c r="L72" s="369">
        <f>$L$7</f>
        <v>1.6580000000000001E-2</v>
      </c>
      <c r="M72" s="268">
        <f>$M$7</f>
        <v>2.5000000000000001E-3</v>
      </c>
      <c r="N72" s="269"/>
      <c r="O72" s="270"/>
      <c r="P72" s="271"/>
      <c r="Q72" s="272"/>
      <c r="R72" s="273"/>
      <c r="S72" s="306" t="s">
        <v>693</v>
      </c>
      <c r="T72" s="276">
        <v>1809890</v>
      </c>
      <c r="U72" s="276"/>
      <c r="V72" s="276">
        <v>265519</v>
      </c>
      <c r="W72" s="276">
        <v>248648</v>
      </c>
      <c r="X72" s="276">
        <v>150040</v>
      </c>
      <c r="Y72" s="276">
        <v>128252</v>
      </c>
      <c r="Z72" s="276">
        <v>123200</v>
      </c>
      <c r="AA72" s="276">
        <v>121648</v>
      </c>
      <c r="AB72" s="276">
        <v>117000</v>
      </c>
      <c r="AC72" s="276">
        <v>117000</v>
      </c>
      <c r="AD72" s="276">
        <v>117000</v>
      </c>
      <c r="AE72" s="276">
        <v>687102</v>
      </c>
      <c r="AF72" s="411">
        <f t="shared" si="1"/>
        <v>1561242</v>
      </c>
      <c r="AG72" s="278"/>
      <c r="AH72" s="278"/>
    </row>
    <row r="73" spans="1:34" s="296" customFormat="1" ht="15.75" thickBot="1" x14ac:dyDescent="0.3">
      <c r="A73" s="412"/>
      <c r="B73" s="701"/>
      <c r="C73" s="693"/>
      <c r="D73" s="693"/>
      <c r="E73" s="284"/>
      <c r="F73" s="689"/>
      <c r="G73" s="693"/>
      <c r="H73" s="286"/>
      <c r="I73" s="690"/>
      <c r="J73" s="319"/>
      <c r="K73" s="320"/>
      <c r="L73" s="282"/>
      <c r="M73" s="282"/>
      <c r="N73" s="282"/>
      <c r="O73" s="289"/>
      <c r="P73" s="288"/>
      <c r="Q73" s="311"/>
      <c r="R73" s="312"/>
      <c r="S73" s="292" t="s">
        <v>695</v>
      </c>
      <c r="T73" s="376"/>
      <c r="U73" s="376"/>
      <c r="V73" s="294">
        <v>5500</v>
      </c>
      <c r="W73" s="294">
        <v>4524.7250000000004</v>
      </c>
      <c r="X73" s="294">
        <f>((SUM(X72:$AE72))*($L72+$M72))</f>
        <v>29788.497360000001</v>
      </c>
      <c r="Y73" s="294">
        <f>((SUM(Y72:$AE72))*($L72+$M72))</f>
        <v>26925.73416</v>
      </c>
      <c r="Z73" s="294">
        <f>((SUM(Z72:$AE72))*($L72+$M72))</f>
        <v>24478.685999999998</v>
      </c>
      <c r="AA73" s="294">
        <f>((SUM(AA72:$AE72))*($L72+$M72))</f>
        <v>22128.03</v>
      </c>
      <c r="AB73" s="294">
        <f>((SUM(AB72:$AE72))*($L72+$M72))</f>
        <v>19806.98616</v>
      </c>
      <c r="AC73" s="294">
        <f>((SUM(AC72:$AE72))*($L72+$M72))</f>
        <v>17574.62616</v>
      </c>
      <c r="AD73" s="294">
        <f>((SUM(AD72:$AE72))*($L72+$M72))</f>
        <v>15342.266159999999</v>
      </c>
      <c r="AE73" s="294">
        <f>((SUM(AE72:$AE72))*($L72+$M72))*8.5</f>
        <v>111434.20236000001</v>
      </c>
      <c r="AF73" s="413">
        <f t="shared" si="1"/>
        <v>267479.02836</v>
      </c>
      <c r="AG73" s="278"/>
      <c r="AH73" s="278"/>
    </row>
    <row r="74" spans="1:34" s="296" customFormat="1" ht="13.15" customHeight="1" x14ac:dyDescent="0.2">
      <c r="A74" s="410">
        <v>25</v>
      </c>
      <c r="B74" s="686" t="s">
        <v>858</v>
      </c>
      <c r="C74" s="692" t="s">
        <v>859</v>
      </c>
      <c r="D74" s="692" t="s">
        <v>860</v>
      </c>
      <c r="E74" s="355"/>
      <c r="F74" s="688" t="s">
        <v>861</v>
      </c>
      <c r="G74" s="668" t="s">
        <v>862</v>
      </c>
      <c r="H74" s="264"/>
      <c r="I74" s="670">
        <v>484935.32</v>
      </c>
      <c r="J74" s="264"/>
      <c r="K74" s="266"/>
      <c r="L74" s="369">
        <f>$L$7</f>
        <v>1.6580000000000001E-2</v>
      </c>
      <c r="M74" s="268">
        <f>$M$7</f>
        <v>2.5000000000000001E-3</v>
      </c>
      <c r="N74" s="269"/>
      <c r="O74" s="270"/>
      <c r="P74" s="271"/>
      <c r="Q74" s="272"/>
      <c r="R74" s="273"/>
      <c r="S74" s="306" t="s">
        <v>693</v>
      </c>
      <c r="T74" s="276">
        <v>330070</v>
      </c>
      <c r="U74" s="276"/>
      <c r="V74" s="276">
        <v>20312</v>
      </c>
      <c r="W74" s="276">
        <v>20312</v>
      </c>
      <c r="X74" s="276">
        <v>20312</v>
      </c>
      <c r="Y74" s="276">
        <v>20312</v>
      </c>
      <c r="Z74" s="276">
        <v>20312</v>
      </c>
      <c r="AA74" s="276">
        <v>20312</v>
      </c>
      <c r="AB74" s="276">
        <v>20312</v>
      </c>
      <c r="AC74" s="276">
        <v>20312</v>
      </c>
      <c r="AD74" s="276">
        <v>20312</v>
      </c>
      <c r="AE74" s="276">
        <v>167574</v>
      </c>
      <c r="AF74" s="411">
        <f t="shared" si="1"/>
        <v>309758</v>
      </c>
      <c r="AG74" s="278"/>
      <c r="AH74" s="278"/>
    </row>
    <row r="75" spans="1:34" s="296" customFormat="1" ht="15.75" thickBot="1" x14ac:dyDescent="0.3">
      <c r="A75" s="412"/>
      <c r="B75" s="691"/>
      <c r="C75" s="693"/>
      <c r="D75" s="693"/>
      <c r="E75" s="284"/>
      <c r="F75" s="689"/>
      <c r="G75" s="676"/>
      <c r="H75" s="286"/>
      <c r="I75" s="690"/>
      <c r="J75" s="319"/>
      <c r="K75" s="320"/>
      <c r="L75" s="282"/>
      <c r="M75" s="282"/>
      <c r="N75" s="282"/>
      <c r="O75" s="289"/>
      <c r="P75" s="288"/>
      <c r="Q75" s="311"/>
      <c r="R75" s="312"/>
      <c r="S75" s="292" t="s">
        <v>695</v>
      </c>
      <c r="T75" s="376"/>
      <c r="U75" s="376"/>
      <c r="V75" s="294">
        <v>1000</v>
      </c>
      <c r="W75" s="294">
        <v>841.6785000000001</v>
      </c>
      <c r="X75" s="294">
        <f>((SUM(X74:$AE74))*($L74+$M74))</f>
        <v>5910.18264</v>
      </c>
      <c r="Y75" s="294">
        <f>((SUM(Y74:$AE74))*($L74+$M74))</f>
        <v>5522.62968</v>
      </c>
      <c r="Z75" s="294">
        <f>((SUM(Z74:$AE74))*($L74+$M74))</f>
        <v>5135.07672</v>
      </c>
      <c r="AA75" s="294">
        <f>((SUM(AA74:$AE74))*($L74+$M74))</f>
        <v>4747.52376</v>
      </c>
      <c r="AB75" s="294">
        <f>((SUM(AB74:$AE74))*($L74+$M74))</f>
        <v>4359.9708000000001</v>
      </c>
      <c r="AC75" s="294">
        <f>((SUM(AC74:$AE74))*($L74+$M74))</f>
        <v>3972.4178400000001</v>
      </c>
      <c r="AD75" s="294">
        <f>((SUM(AD74:$AE74))*($L74+$M74))</f>
        <v>3584.8648800000001</v>
      </c>
      <c r="AE75" s="294">
        <f>((SUM(AE74:$AE74))*($L74+$M74))*8.3</f>
        <v>26537.688936000002</v>
      </c>
      <c r="AF75" s="413">
        <f t="shared" si="1"/>
        <v>59770.35525600001</v>
      </c>
      <c r="AG75" s="278"/>
      <c r="AH75" s="278"/>
    </row>
    <row r="76" spans="1:34" s="296" customFormat="1" ht="13.15" customHeight="1" x14ac:dyDescent="0.2">
      <c r="A76" s="410">
        <v>26</v>
      </c>
      <c r="B76" s="686" t="s">
        <v>863</v>
      </c>
      <c r="C76" s="692" t="s">
        <v>864</v>
      </c>
      <c r="D76" s="692" t="s">
        <v>865</v>
      </c>
      <c r="E76" s="355"/>
      <c r="F76" s="688" t="s">
        <v>866</v>
      </c>
      <c r="G76" s="668" t="s">
        <v>867</v>
      </c>
      <c r="H76" s="264"/>
      <c r="I76" s="670">
        <v>55899</v>
      </c>
      <c r="J76" s="264"/>
      <c r="K76" s="266"/>
      <c r="L76" s="369">
        <f>$L$7</f>
        <v>1.6580000000000001E-2</v>
      </c>
      <c r="M76" s="268">
        <f>$M$7</f>
        <v>2.5000000000000001E-3</v>
      </c>
      <c r="N76" s="269"/>
      <c r="O76" s="270"/>
      <c r="P76" s="271"/>
      <c r="Q76" s="272"/>
      <c r="R76" s="273"/>
      <c r="S76" s="306" t="s">
        <v>693</v>
      </c>
      <c r="T76" s="276">
        <v>31304</v>
      </c>
      <c r="U76" s="276"/>
      <c r="V76" s="276">
        <v>8944</v>
      </c>
      <c r="W76" s="276">
        <v>8944</v>
      </c>
      <c r="X76" s="276">
        <v>8944</v>
      </c>
      <c r="Y76" s="276">
        <v>8944</v>
      </c>
      <c r="Z76" s="276">
        <v>4472</v>
      </c>
      <c r="AA76" s="316">
        <v>0</v>
      </c>
      <c r="AB76" s="316">
        <v>0</v>
      </c>
      <c r="AC76" s="316">
        <v>0</v>
      </c>
      <c r="AD76" s="316">
        <v>0</v>
      </c>
      <c r="AE76" s="316">
        <v>0</v>
      </c>
      <c r="AF76" s="411">
        <f t="shared" ref="AF76:AF139" si="2">SUM(X76:AE76)</f>
        <v>22360</v>
      </c>
      <c r="AG76" s="278"/>
      <c r="AH76" s="278"/>
    </row>
    <row r="77" spans="1:34" s="296" customFormat="1" ht="15.75" thickBot="1" x14ac:dyDescent="0.3">
      <c r="A77" s="412"/>
      <c r="B77" s="691"/>
      <c r="C77" s="693"/>
      <c r="D77" s="693"/>
      <c r="E77" s="284"/>
      <c r="F77" s="689"/>
      <c r="G77" s="676"/>
      <c r="H77" s="286"/>
      <c r="I77" s="690"/>
      <c r="J77" s="319"/>
      <c r="K77" s="320"/>
      <c r="L77" s="282"/>
      <c r="M77" s="282"/>
      <c r="N77" s="282"/>
      <c r="O77" s="289"/>
      <c r="P77" s="288"/>
      <c r="Q77" s="311"/>
      <c r="R77" s="312"/>
      <c r="S77" s="292" t="s">
        <v>695</v>
      </c>
      <c r="T77" s="376"/>
      <c r="U77" s="376"/>
      <c r="V77" s="294">
        <v>120</v>
      </c>
      <c r="W77" s="294">
        <v>79.825200000000009</v>
      </c>
      <c r="X77" s="294">
        <f>((SUM(X76:$AE76))*($L76+$M76))</f>
        <v>426.62880000000001</v>
      </c>
      <c r="Y77" s="294">
        <f>((SUM(Y76:$AE76))*($L76+$M76))</f>
        <v>255.97728000000001</v>
      </c>
      <c r="Z77" s="294">
        <f>((SUM(Z76:$AE76))*($L76+$M76))</f>
        <v>85.325760000000002</v>
      </c>
      <c r="AA77" s="321">
        <f>((SUM(AA76:$AE76))*($L76+$M76))</f>
        <v>0</v>
      </c>
      <c r="AB77" s="321">
        <f>((SUM(AB76:$AE76))*($L76+$M76))</f>
        <v>0</v>
      </c>
      <c r="AC77" s="321">
        <f>((SUM(AC76:$AE76))*($L76+$M76))</f>
        <v>0</v>
      </c>
      <c r="AD77" s="321">
        <f>((SUM(AD76:$AE76))*($L76+$M76))</f>
        <v>0</v>
      </c>
      <c r="AE77" s="321">
        <f>((SUM(AE76:$AE76))*($L76+$M76))</f>
        <v>0</v>
      </c>
      <c r="AF77" s="413">
        <f t="shared" si="2"/>
        <v>767.93183999999997</v>
      </c>
      <c r="AG77" s="278"/>
      <c r="AH77" s="278"/>
    </row>
    <row r="78" spans="1:34" s="296" customFormat="1" ht="13.15" customHeight="1" x14ac:dyDescent="0.2">
      <c r="A78" s="410">
        <v>27</v>
      </c>
      <c r="B78" s="686" t="s">
        <v>868</v>
      </c>
      <c r="C78" s="692" t="s">
        <v>869</v>
      </c>
      <c r="D78" s="692" t="s">
        <v>870</v>
      </c>
      <c r="E78" s="355"/>
      <c r="F78" s="668" t="s">
        <v>866</v>
      </c>
      <c r="G78" s="668" t="s">
        <v>871</v>
      </c>
      <c r="H78" s="264"/>
      <c r="I78" s="678">
        <v>8518.4</v>
      </c>
      <c r="J78" s="264"/>
      <c r="K78" s="266"/>
      <c r="L78" s="369">
        <f>$L$7</f>
        <v>1.6580000000000001E-2</v>
      </c>
      <c r="M78" s="268">
        <f>$M$7</f>
        <v>2.5000000000000001E-3</v>
      </c>
      <c r="N78" s="269"/>
      <c r="O78" s="270"/>
      <c r="P78" s="271"/>
      <c r="Q78" s="272"/>
      <c r="R78" s="273"/>
      <c r="S78" s="306" t="s">
        <v>693</v>
      </c>
      <c r="T78" s="276">
        <v>2844</v>
      </c>
      <c r="U78" s="276"/>
      <c r="V78" s="276">
        <v>1896</v>
      </c>
      <c r="W78" s="276">
        <v>1896</v>
      </c>
      <c r="X78" s="276">
        <v>948</v>
      </c>
      <c r="Y78" s="316">
        <v>0</v>
      </c>
      <c r="Z78" s="316">
        <v>0</v>
      </c>
      <c r="AA78" s="316">
        <v>0</v>
      </c>
      <c r="AB78" s="316">
        <v>0</v>
      </c>
      <c r="AC78" s="316">
        <v>0</v>
      </c>
      <c r="AD78" s="316">
        <v>0</v>
      </c>
      <c r="AE78" s="316">
        <v>0</v>
      </c>
      <c r="AF78" s="411">
        <f t="shared" si="2"/>
        <v>948</v>
      </c>
      <c r="AG78" s="278"/>
      <c r="AH78" s="278"/>
    </row>
    <row r="79" spans="1:34" s="296" customFormat="1" ht="15.75" thickBot="1" x14ac:dyDescent="0.3">
      <c r="A79" s="412"/>
      <c r="B79" s="687"/>
      <c r="C79" s="693"/>
      <c r="D79" s="693"/>
      <c r="E79" s="284"/>
      <c r="F79" s="669"/>
      <c r="G79" s="676"/>
      <c r="H79" s="286"/>
      <c r="I79" s="690"/>
      <c r="J79" s="319"/>
      <c r="K79" s="320"/>
      <c r="L79" s="282"/>
      <c r="M79" s="282"/>
      <c r="N79" s="282"/>
      <c r="O79" s="289"/>
      <c r="P79" s="288"/>
      <c r="Q79" s="311"/>
      <c r="R79" s="312"/>
      <c r="S79" s="292" t="s">
        <v>695</v>
      </c>
      <c r="T79" s="376"/>
      <c r="U79" s="376"/>
      <c r="V79" s="294">
        <v>125</v>
      </c>
      <c r="W79" s="294">
        <v>7.2522000000000002</v>
      </c>
      <c r="X79" s="294">
        <f>((SUM(X78:$AE78))*($L78+$M78))</f>
        <v>18.08784</v>
      </c>
      <c r="Y79" s="321">
        <f>((SUM(Y78:$AE78))*($L78+$M78))</f>
        <v>0</v>
      </c>
      <c r="Z79" s="321">
        <f>((SUM(Z78:$AE78))*($L78+$M78))</f>
        <v>0</v>
      </c>
      <c r="AA79" s="321">
        <f>((SUM(AA78:$AE78))*($L78+$M78))</f>
        <v>0</v>
      </c>
      <c r="AB79" s="321">
        <f>((SUM(AB78:$AE78))*($L78+$M78))</f>
        <v>0</v>
      </c>
      <c r="AC79" s="321">
        <f>((SUM(AC78:$AE78))*($L78+$M78))</f>
        <v>0</v>
      </c>
      <c r="AD79" s="321">
        <f>((SUM(AD78:$AE78))*($L78+$M78))</f>
        <v>0</v>
      </c>
      <c r="AE79" s="321">
        <f>((SUM(AE78:$AE78))*($L78+$M78))</f>
        <v>0</v>
      </c>
      <c r="AF79" s="413">
        <f t="shared" si="2"/>
        <v>18.08784</v>
      </c>
      <c r="AG79" s="278"/>
      <c r="AH79" s="278"/>
    </row>
    <row r="80" spans="1:34" s="296" customFormat="1" ht="13.15" customHeight="1" x14ac:dyDescent="0.2">
      <c r="A80" s="410">
        <v>28</v>
      </c>
      <c r="B80" s="686" t="s">
        <v>872</v>
      </c>
      <c r="C80" s="692" t="s">
        <v>873</v>
      </c>
      <c r="D80" s="692" t="s">
        <v>874</v>
      </c>
      <c r="E80" s="355"/>
      <c r="F80" s="688" t="s">
        <v>866</v>
      </c>
      <c r="G80" s="668" t="s">
        <v>875</v>
      </c>
      <c r="H80" s="264"/>
      <c r="I80" s="670">
        <v>238897.15</v>
      </c>
      <c r="J80" s="264"/>
      <c r="K80" s="266"/>
      <c r="L80" s="369">
        <f>$L$7</f>
        <v>1.6580000000000001E-2</v>
      </c>
      <c r="M80" s="268">
        <f>$M$7</f>
        <v>2.5000000000000001E-3</v>
      </c>
      <c r="N80" s="269"/>
      <c r="O80" s="270"/>
      <c r="P80" s="271"/>
      <c r="Q80" s="272"/>
      <c r="R80" s="273"/>
      <c r="S80" s="306" t="s">
        <v>693</v>
      </c>
      <c r="T80" s="276">
        <v>174900</v>
      </c>
      <c r="U80" s="276"/>
      <c r="V80" s="276">
        <v>10600</v>
      </c>
      <c r="W80" s="276">
        <v>10600</v>
      </c>
      <c r="X80" s="276">
        <v>10600</v>
      </c>
      <c r="Y80" s="276">
        <v>10600</v>
      </c>
      <c r="Z80" s="276">
        <v>10600</v>
      </c>
      <c r="AA80" s="276">
        <v>10600</v>
      </c>
      <c r="AB80" s="276">
        <v>10600</v>
      </c>
      <c r="AC80" s="276">
        <v>10600</v>
      </c>
      <c r="AD80" s="276">
        <v>10600</v>
      </c>
      <c r="AE80" s="276">
        <v>90100</v>
      </c>
      <c r="AF80" s="411">
        <f t="shared" si="2"/>
        <v>164300</v>
      </c>
      <c r="AG80" s="278"/>
      <c r="AH80" s="278"/>
    </row>
    <row r="81" spans="1:34" s="296" customFormat="1" ht="15.75" thickBot="1" x14ac:dyDescent="0.3">
      <c r="A81" s="412"/>
      <c r="B81" s="691"/>
      <c r="C81" s="693"/>
      <c r="D81" s="693"/>
      <c r="E81" s="284"/>
      <c r="F81" s="689"/>
      <c r="G81" s="676"/>
      <c r="H81" s="286"/>
      <c r="I81" s="690"/>
      <c r="J81" s="319"/>
      <c r="K81" s="320"/>
      <c r="L81" s="282"/>
      <c r="M81" s="282"/>
      <c r="N81" s="282"/>
      <c r="O81" s="289"/>
      <c r="P81" s="288"/>
      <c r="Q81" s="311"/>
      <c r="R81" s="312"/>
      <c r="S81" s="292" t="s">
        <v>695</v>
      </c>
      <c r="T81" s="376"/>
      <c r="U81" s="376"/>
      <c r="V81" s="294">
        <v>1000</v>
      </c>
      <c r="W81" s="294">
        <v>445.995</v>
      </c>
      <c r="X81" s="294">
        <f>((SUM(X80:$AE80))*($L80+$M80))</f>
        <v>3134.8440000000001</v>
      </c>
      <c r="Y81" s="294">
        <f>((SUM(Y80:$AE80))*($L80+$M80))</f>
        <v>2932.596</v>
      </c>
      <c r="Z81" s="294">
        <f>((SUM(Z80:$AE80))*($L80+$M80))</f>
        <v>2730.348</v>
      </c>
      <c r="AA81" s="294">
        <f>((SUM(AA80:$AE80))*($L80+$M80))</f>
        <v>2528.1</v>
      </c>
      <c r="AB81" s="294">
        <f>((SUM(AB80:$AE80))*($L80+$M80))</f>
        <v>2325.8519999999999</v>
      </c>
      <c r="AC81" s="294">
        <f>((SUM(AC80:$AE80))*($L80+$M80))</f>
        <v>2123.6039999999998</v>
      </c>
      <c r="AD81" s="294">
        <f>((SUM(AD80:$AE80))*($L80+$M80))</f>
        <v>1921.356</v>
      </c>
      <c r="AE81" s="294">
        <f>((SUM(AE80:$AE80))*($L80+$M80))*8.5</f>
        <v>14612.418</v>
      </c>
      <c r="AF81" s="413">
        <f t="shared" si="2"/>
        <v>32309.118000000002</v>
      </c>
      <c r="AG81" s="278"/>
      <c r="AH81" s="278"/>
    </row>
    <row r="82" spans="1:34" s="296" customFormat="1" ht="13.15" customHeight="1" x14ac:dyDescent="0.2">
      <c r="A82" s="410">
        <v>29</v>
      </c>
      <c r="B82" s="686" t="s">
        <v>876</v>
      </c>
      <c r="C82" s="692" t="s">
        <v>877</v>
      </c>
      <c r="D82" s="692" t="s">
        <v>878</v>
      </c>
      <c r="E82" s="355"/>
      <c r="F82" s="688" t="s">
        <v>866</v>
      </c>
      <c r="G82" s="668" t="s">
        <v>879</v>
      </c>
      <c r="H82" s="264"/>
      <c r="I82" s="670">
        <v>49472</v>
      </c>
      <c r="J82" s="264"/>
      <c r="K82" s="266"/>
      <c r="L82" s="369">
        <f>$L$7</f>
        <v>1.6580000000000001E-2</v>
      </c>
      <c r="M82" s="268">
        <f>$M$7</f>
        <v>2.5000000000000001E-3</v>
      </c>
      <c r="N82" s="269"/>
      <c r="O82" s="270"/>
      <c r="P82" s="271"/>
      <c r="Q82" s="272"/>
      <c r="R82" s="273"/>
      <c r="S82" s="306" t="s">
        <v>693</v>
      </c>
      <c r="T82" s="276">
        <v>39928</v>
      </c>
      <c r="U82" s="276"/>
      <c r="V82" s="276">
        <v>3472</v>
      </c>
      <c r="W82" s="276">
        <v>3472</v>
      </c>
      <c r="X82" s="276">
        <v>3472</v>
      </c>
      <c r="Y82" s="276">
        <v>3472</v>
      </c>
      <c r="Z82" s="276">
        <v>3472</v>
      </c>
      <c r="AA82" s="276">
        <v>3472</v>
      </c>
      <c r="AB82" s="276">
        <v>3472</v>
      </c>
      <c r="AC82" s="276">
        <v>3472</v>
      </c>
      <c r="AD82" s="276">
        <v>3472</v>
      </c>
      <c r="AE82" s="276">
        <v>12152</v>
      </c>
      <c r="AF82" s="411">
        <f t="shared" si="2"/>
        <v>36456</v>
      </c>
      <c r="AG82" s="278"/>
      <c r="AH82" s="278"/>
    </row>
    <row r="83" spans="1:34" s="296" customFormat="1" ht="15.75" thickBot="1" x14ac:dyDescent="0.3">
      <c r="A83" s="412"/>
      <c r="B83" s="691"/>
      <c r="C83" s="693"/>
      <c r="D83" s="693"/>
      <c r="E83" s="284"/>
      <c r="F83" s="689"/>
      <c r="G83" s="676"/>
      <c r="H83" s="286"/>
      <c r="I83" s="690"/>
      <c r="J83" s="319"/>
      <c r="K83" s="320"/>
      <c r="L83" s="282"/>
      <c r="M83" s="282"/>
      <c r="N83" s="282"/>
      <c r="O83" s="289"/>
      <c r="P83" s="288"/>
      <c r="Q83" s="311"/>
      <c r="R83" s="312"/>
      <c r="S83" s="292" t="s">
        <v>695</v>
      </c>
      <c r="T83" s="376"/>
      <c r="U83" s="376"/>
      <c r="V83" s="294">
        <v>125</v>
      </c>
      <c r="W83" s="294">
        <v>101.8164</v>
      </c>
      <c r="X83" s="294">
        <f>((SUM(X82:$AE82))*($L82+$M82))</f>
        <v>695.58047999999997</v>
      </c>
      <c r="Y83" s="294">
        <f>((SUM(Y82:$AE82))*($L82+$M82))</f>
        <v>629.33471999999995</v>
      </c>
      <c r="Z83" s="294">
        <f>((SUM(Z82:$AE82))*($L82+$M82))</f>
        <v>563.08896000000004</v>
      </c>
      <c r="AA83" s="294">
        <f>((SUM(AA82:$AE82))*($L82+$M82))</f>
        <v>496.84319999999997</v>
      </c>
      <c r="AB83" s="294">
        <f>((SUM(AB82:$AE82))*($L82+$M82))</f>
        <v>430.59744000000001</v>
      </c>
      <c r="AC83" s="294">
        <f>((SUM(AC82:$AE82))*($L82+$M82))</f>
        <v>364.35167999999999</v>
      </c>
      <c r="AD83" s="294">
        <f>((SUM(AD82:$AE82))*($L82+$M82))</f>
        <v>298.10591999999997</v>
      </c>
      <c r="AE83" s="294">
        <f>((SUM(AE82:$AE82))*($L82+$M82))*3.5</f>
        <v>811.51056000000005</v>
      </c>
      <c r="AF83" s="413">
        <f t="shared" si="2"/>
        <v>4289.4129599999997</v>
      </c>
      <c r="AG83" s="278"/>
      <c r="AH83" s="278"/>
    </row>
    <row r="84" spans="1:34" s="296" customFormat="1" ht="13.15" customHeight="1" x14ac:dyDescent="0.2">
      <c r="A84" s="410">
        <v>30</v>
      </c>
      <c r="B84" s="686" t="s">
        <v>880</v>
      </c>
      <c r="C84" s="692" t="s">
        <v>881</v>
      </c>
      <c r="D84" s="692" t="s">
        <v>882</v>
      </c>
      <c r="E84" s="355"/>
      <c r="F84" s="688" t="s">
        <v>866</v>
      </c>
      <c r="G84" s="668" t="s">
        <v>875</v>
      </c>
      <c r="H84" s="264"/>
      <c r="I84" s="670">
        <v>278611.39</v>
      </c>
      <c r="J84" s="264"/>
      <c r="K84" s="266"/>
      <c r="L84" s="369">
        <f>$L$7</f>
        <v>1.6580000000000001E-2</v>
      </c>
      <c r="M84" s="268">
        <f>$M$7</f>
        <v>2.5000000000000001E-3</v>
      </c>
      <c r="N84" s="269"/>
      <c r="O84" s="270"/>
      <c r="P84" s="271"/>
      <c r="Q84" s="272"/>
      <c r="R84" s="273"/>
      <c r="S84" s="306" t="s">
        <v>693</v>
      </c>
      <c r="T84" s="276">
        <v>238854</v>
      </c>
      <c r="U84" s="276"/>
      <c r="V84" s="276">
        <v>14476</v>
      </c>
      <c r="W84" s="276">
        <v>14476</v>
      </c>
      <c r="X84" s="276">
        <v>14476</v>
      </c>
      <c r="Y84" s="276">
        <v>14476</v>
      </c>
      <c r="Z84" s="276">
        <v>14476</v>
      </c>
      <c r="AA84" s="276">
        <v>14476</v>
      </c>
      <c r="AB84" s="276">
        <v>14476</v>
      </c>
      <c r="AC84" s="276">
        <v>14476</v>
      </c>
      <c r="AD84" s="276">
        <v>14476</v>
      </c>
      <c r="AE84" s="276">
        <v>123046</v>
      </c>
      <c r="AF84" s="411">
        <f t="shared" si="2"/>
        <v>224378</v>
      </c>
      <c r="AG84" s="278"/>
      <c r="AH84" s="278"/>
    </row>
    <row r="85" spans="1:34" s="296" customFormat="1" ht="15.75" thickBot="1" x14ac:dyDescent="0.3">
      <c r="A85" s="412"/>
      <c r="B85" s="691"/>
      <c r="C85" s="693"/>
      <c r="D85" s="693"/>
      <c r="E85" s="284"/>
      <c r="F85" s="689"/>
      <c r="G85" s="676"/>
      <c r="H85" s="286"/>
      <c r="I85" s="690"/>
      <c r="J85" s="319"/>
      <c r="K85" s="320"/>
      <c r="L85" s="282"/>
      <c r="M85" s="282"/>
      <c r="N85" s="282"/>
      <c r="O85" s="289"/>
      <c r="P85" s="288"/>
      <c r="Q85" s="311"/>
      <c r="R85" s="312"/>
      <c r="S85" s="292" t="s">
        <v>695</v>
      </c>
      <c r="T85" s="376"/>
      <c r="U85" s="376"/>
      <c r="V85" s="294">
        <v>120</v>
      </c>
      <c r="W85" s="294">
        <v>609.07770000000005</v>
      </c>
      <c r="X85" s="294">
        <f>((SUM(X84:$AE84))*($L84+$M84))</f>
        <v>4281.1322399999999</v>
      </c>
      <c r="Y85" s="294">
        <f>((SUM(Y84:$AE84))*($L84+$M84))</f>
        <v>4004.9301599999999</v>
      </c>
      <c r="Z85" s="294">
        <f>((SUM(Z84:$AE84))*($L84+$M84))</f>
        <v>3728.7280799999999</v>
      </c>
      <c r="AA85" s="294">
        <f>((SUM(AA84:$AE84))*($L84+$M84))</f>
        <v>3452.5259999999998</v>
      </c>
      <c r="AB85" s="294">
        <f>((SUM(AB84:$AE84))*($L84+$M84))</f>
        <v>3176.3239199999998</v>
      </c>
      <c r="AC85" s="294">
        <f>((SUM(AC84:$AE84))*($L84+$M84))</f>
        <v>2900.1218399999998</v>
      </c>
      <c r="AD85" s="294">
        <f>((SUM(AD84:$AE84))*($L84+$M84))</f>
        <v>2623.9197599999998</v>
      </c>
      <c r="AE85" s="294">
        <f>((SUM(AE84:$AE84))*($L84+$M84))*8.5</f>
        <v>19955.600279999999</v>
      </c>
      <c r="AF85" s="413">
        <f t="shared" si="2"/>
        <v>44123.282279999999</v>
      </c>
      <c r="AG85" s="278"/>
      <c r="AH85" s="278"/>
    </row>
    <row r="86" spans="1:34" s="296" customFormat="1" ht="13.15" customHeight="1" x14ac:dyDescent="0.2">
      <c r="A86" s="410">
        <v>31</v>
      </c>
      <c r="B86" s="686" t="s">
        <v>883</v>
      </c>
      <c r="C86" s="692" t="s">
        <v>884</v>
      </c>
      <c r="D86" s="692" t="s">
        <v>885</v>
      </c>
      <c r="E86" s="355"/>
      <c r="F86" s="688" t="s">
        <v>886</v>
      </c>
      <c r="G86" s="668" t="s">
        <v>887</v>
      </c>
      <c r="H86" s="264"/>
      <c r="I86" s="670">
        <v>34291</v>
      </c>
      <c r="J86" s="264"/>
      <c r="K86" s="266"/>
      <c r="L86" s="369">
        <f>$L$7</f>
        <v>1.6580000000000001E-2</v>
      </c>
      <c r="M86" s="268">
        <f>$M$7</f>
        <v>2.5000000000000001E-3</v>
      </c>
      <c r="N86" s="269"/>
      <c r="O86" s="270"/>
      <c r="P86" s="271"/>
      <c r="Q86" s="272"/>
      <c r="R86" s="273"/>
      <c r="S86" s="306" t="s">
        <v>693</v>
      </c>
      <c r="T86" s="276">
        <v>23266</v>
      </c>
      <c r="U86" s="276"/>
      <c r="V86" s="276">
        <v>3684</v>
      </c>
      <c r="W86" s="276">
        <v>3684</v>
      </c>
      <c r="X86" s="276">
        <v>3616</v>
      </c>
      <c r="Y86" s="276">
        <v>3548</v>
      </c>
      <c r="Z86" s="276">
        <v>3548</v>
      </c>
      <c r="AA86" s="276">
        <v>3548</v>
      </c>
      <c r="AB86" s="276">
        <v>3548</v>
      </c>
      <c r="AC86" s="276">
        <v>1774</v>
      </c>
      <c r="AD86" s="316">
        <v>0</v>
      </c>
      <c r="AE86" s="316">
        <v>0</v>
      </c>
      <c r="AF86" s="411">
        <f t="shared" si="2"/>
        <v>19582</v>
      </c>
      <c r="AG86" s="278"/>
      <c r="AH86" s="278"/>
    </row>
    <row r="87" spans="1:34" s="296" customFormat="1" ht="15.75" thickBot="1" x14ac:dyDescent="0.3">
      <c r="A87" s="412"/>
      <c r="B87" s="691"/>
      <c r="C87" s="693"/>
      <c r="D87" s="693"/>
      <c r="E87" s="284"/>
      <c r="F87" s="689"/>
      <c r="G87" s="676"/>
      <c r="H87" s="286"/>
      <c r="I87" s="690"/>
      <c r="J87" s="319"/>
      <c r="K87" s="320"/>
      <c r="L87" s="282"/>
      <c r="M87" s="282"/>
      <c r="N87" s="282"/>
      <c r="O87" s="289"/>
      <c r="P87" s="288"/>
      <c r="Q87" s="311"/>
      <c r="R87" s="312"/>
      <c r="S87" s="292" t="s">
        <v>695</v>
      </c>
      <c r="T87" s="376"/>
      <c r="U87" s="376"/>
      <c r="V87" s="294">
        <v>250</v>
      </c>
      <c r="W87" s="294">
        <v>59.328300000000006</v>
      </c>
      <c r="X87" s="294">
        <f>((SUM(X86:$AE86))*($L86+$M86))</f>
        <v>373.62455999999997</v>
      </c>
      <c r="Y87" s="294">
        <f>((SUM(Y86:$AE86))*($L86+$M86))</f>
        <v>304.63128</v>
      </c>
      <c r="Z87" s="294">
        <f>((SUM(Z86:$AE86))*($L86+$M86))</f>
        <v>236.93544</v>
      </c>
      <c r="AA87" s="294">
        <f>((SUM(AA86:$AE86))*($L86+$M86))</f>
        <v>169.2396</v>
      </c>
      <c r="AB87" s="294">
        <f>((SUM(AB86:$AE86))*($L86+$M86))</f>
        <v>101.54375999999999</v>
      </c>
      <c r="AC87" s="294">
        <f>((SUM(AC86:$AE86))*($L86+$M86))</f>
        <v>33.847920000000002</v>
      </c>
      <c r="AD87" s="321">
        <f>((SUM(AD86:$AE86))*($L86+$M86))</f>
        <v>0</v>
      </c>
      <c r="AE87" s="321">
        <f>((SUM(AE86:$AE86))*($L86+$M86))</f>
        <v>0</v>
      </c>
      <c r="AF87" s="413">
        <f t="shared" si="2"/>
        <v>1219.8225599999998</v>
      </c>
      <c r="AG87" s="278"/>
      <c r="AH87" s="278"/>
    </row>
    <row r="88" spans="1:34" s="296" customFormat="1" ht="13.15" customHeight="1" x14ac:dyDescent="0.2">
      <c r="A88" s="410">
        <v>32</v>
      </c>
      <c r="B88" s="686" t="s">
        <v>888</v>
      </c>
      <c r="C88" s="692" t="s">
        <v>889</v>
      </c>
      <c r="D88" s="692" t="s">
        <v>890</v>
      </c>
      <c r="E88" s="355"/>
      <c r="F88" s="688" t="s">
        <v>891</v>
      </c>
      <c r="G88" s="668" t="s">
        <v>892</v>
      </c>
      <c r="H88" s="264"/>
      <c r="I88" s="670">
        <v>3496295</v>
      </c>
      <c r="J88" s="264"/>
      <c r="K88" s="266"/>
      <c r="L88" s="369">
        <f>$L$7</f>
        <v>1.6580000000000001E-2</v>
      </c>
      <c r="M88" s="268">
        <f>$M$7</f>
        <v>2.5000000000000001E-3</v>
      </c>
      <c r="N88" s="269"/>
      <c r="O88" s="270"/>
      <c r="P88" s="271"/>
      <c r="Q88" s="272"/>
      <c r="R88" s="273"/>
      <c r="S88" s="306" t="s">
        <v>693</v>
      </c>
      <c r="T88" s="276">
        <v>3370393</v>
      </c>
      <c r="U88" s="276"/>
      <c r="V88" s="276">
        <v>125902</v>
      </c>
      <c r="W88" s="276">
        <v>125996</v>
      </c>
      <c r="X88" s="276">
        <v>125996</v>
      </c>
      <c r="Y88" s="276">
        <v>125996</v>
      </c>
      <c r="Z88" s="276">
        <v>125996</v>
      </c>
      <c r="AA88" s="276">
        <v>125996</v>
      </c>
      <c r="AB88" s="276">
        <v>125996</v>
      </c>
      <c r="AC88" s="276">
        <v>125996</v>
      </c>
      <c r="AD88" s="276">
        <v>125996</v>
      </c>
      <c r="AE88" s="276">
        <v>2362425</v>
      </c>
      <c r="AF88" s="411">
        <f t="shared" si="2"/>
        <v>3244397</v>
      </c>
      <c r="AG88" s="278"/>
      <c r="AH88" s="278"/>
    </row>
    <row r="89" spans="1:34" s="296" customFormat="1" ht="15.75" thickBot="1" x14ac:dyDescent="0.3">
      <c r="A89" s="412"/>
      <c r="B89" s="691"/>
      <c r="C89" s="693"/>
      <c r="D89" s="693"/>
      <c r="E89" s="284"/>
      <c r="F89" s="689"/>
      <c r="G89" s="676"/>
      <c r="H89" s="286"/>
      <c r="I89" s="690"/>
      <c r="J89" s="319"/>
      <c r="K89" s="320"/>
      <c r="L89" s="282"/>
      <c r="M89" s="282"/>
      <c r="N89" s="282"/>
      <c r="O89" s="289"/>
      <c r="P89" s="288"/>
      <c r="Q89" s="311"/>
      <c r="R89" s="312"/>
      <c r="S89" s="292" t="s">
        <v>695</v>
      </c>
      <c r="T89" s="376"/>
      <c r="U89" s="376"/>
      <c r="V89" s="294">
        <v>10000</v>
      </c>
      <c r="W89" s="294">
        <v>8493.3903600000012</v>
      </c>
      <c r="X89" s="294">
        <f>((SUM(X88:$AE88))*($L88+$M88))</f>
        <v>61903.09476</v>
      </c>
      <c r="Y89" s="294">
        <f>((SUM(Y88:$AE88))*($L88+$M88))</f>
        <v>59499.091079999998</v>
      </c>
      <c r="Z89" s="294">
        <f>((SUM(Z88:$AE88))*($L88+$M88))</f>
        <v>57095.087399999997</v>
      </c>
      <c r="AA89" s="294">
        <f>((SUM(AA88:$AE88))*($L88+$M88))</f>
        <v>54691.083720000002</v>
      </c>
      <c r="AB89" s="294">
        <f>((SUM(AB88:$AE88))*($L88+$M88))</f>
        <v>52287.080040000001</v>
      </c>
      <c r="AC89" s="294">
        <f>((SUM(AC88:$AE88))*($L88+$M88))</f>
        <v>49883.076359999999</v>
      </c>
      <c r="AD89" s="294">
        <f>((SUM(AD88:$AE88))*($L88+$M88))</f>
        <v>47479.072679999997</v>
      </c>
      <c r="AE89" s="294">
        <f>((SUM(AE88:$AE88))*($L88+$M88))*18</f>
        <v>811351.24199999997</v>
      </c>
      <c r="AF89" s="413">
        <f t="shared" si="2"/>
        <v>1194188.8280400001</v>
      </c>
      <c r="AG89" s="278"/>
      <c r="AH89" s="278"/>
    </row>
    <row r="90" spans="1:34" s="296" customFormat="1" ht="13.15" customHeight="1" x14ac:dyDescent="0.2">
      <c r="A90" s="410">
        <v>33</v>
      </c>
      <c r="B90" s="686" t="s">
        <v>893</v>
      </c>
      <c r="C90" s="692" t="s">
        <v>894</v>
      </c>
      <c r="D90" s="692" t="s">
        <v>895</v>
      </c>
      <c r="E90" s="355"/>
      <c r="F90" s="688" t="s">
        <v>891</v>
      </c>
      <c r="G90" s="668" t="s">
        <v>892</v>
      </c>
      <c r="H90" s="264"/>
      <c r="I90" s="670">
        <v>2614009</v>
      </c>
      <c r="J90" s="264"/>
      <c r="K90" s="266"/>
      <c r="L90" s="369">
        <f>$L$7</f>
        <v>1.6580000000000001E-2</v>
      </c>
      <c r="M90" s="268">
        <f>$M$7</f>
        <v>2.5000000000000001E-3</v>
      </c>
      <c r="N90" s="269"/>
      <c r="O90" s="270"/>
      <c r="P90" s="271"/>
      <c r="Q90" s="272"/>
      <c r="R90" s="273"/>
      <c r="S90" s="306" t="s">
        <v>693</v>
      </c>
      <c r="T90" s="276">
        <v>2519850</v>
      </c>
      <c r="U90" s="276"/>
      <c r="V90" s="276">
        <v>94159</v>
      </c>
      <c r="W90" s="276">
        <v>94200</v>
      </c>
      <c r="X90" s="276">
        <v>94200</v>
      </c>
      <c r="Y90" s="276">
        <v>94200</v>
      </c>
      <c r="Z90" s="276">
        <v>94200</v>
      </c>
      <c r="AA90" s="276">
        <v>94200</v>
      </c>
      <c r="AB90" s="276">
        <v>94200</v>
      </c>
      <c r="AC90" s="276">
        <v>94200</v>
      </c>
      <c r="AD90" s="276">
        <v>94200</v>
      </c>
      <c r="AE90" s="276">
        <v>1766250</v>
      </c>
      <c r="AF90" s="411">
        <f t="shared" si="2"/>
        <v>2425650</v>
      </c>
      <c r="AG90" s="278"/>
      <c r="AH90" s="278"/>
    </row>
    <row r="91" spans="1:34" s="296" customFormat="1" ht="15.75" thickBot="1" x14ac:dyDescent="0.3">
      <c r="A91" s="412"/>
      <c r="B91" s="691"/>
      <c r="C91" s="693"/>
      <c r="D91" s="693"/>
      <c r="E91" s="284"/>
      <c r="F91" s="689"/>
      <c r="G91" s="676"/>
      <c r="H91" s="286"/>
      <c r="I91" s="690"/>
      <c r="J91" s="319"/>
      <c r="K91" s="320"/>
      <c r="L91" s="282"/>
      <c r="M91" s="282"/>
      <c r="N91" s="282"/>
      <c r="O91" s="289"/>
      <c r="P91" s="288"/>
      <c r="Q91" s="311"/>
      <c r="R91" s="312"/>
      <c r="S91" s="292" t="s">
        <v>695</v>
      </c>
      <c r="T91" s="376"/>
      <c r="U91" s="376"/>
      <c r="V91" s="321">
        <v>0</v>
      </c>
      <c r="W91" s="294">
        <v>6350.0219999999999</v>
      </c>
      <c r="X91" s="294">
        <f>((SUM(X90:$AE90))*($L90+$M90))</f>
        <v>46281.402000000002</v>
      </c>
      <c r="Y91" s="294">
        <f>((SUM(Y90:$AE90))*($L90+$M90))</f>
        <v>44484.065999999999</v>
      </c>
      <c r="Z91" s="294">
        <f>((SUM(Z90:$AE90))*($L90+$M90))</f>
        <v>42686.729999999996</v>
      </c>
      <c r="AA91" s="294">
        <f>((SUM(AA90:$AE90))*($L90+$M90))</f>
        <v>40889.394</v>
      </c>
      <c r="AB91" s="294">
        <f>((SUM(AB90:$AE90))*($L90+$M90))</f>
        <v>39092.057999999997</v>
      </c>
      <c r="AC91" s="294">
        <f>((SUM(AC90:$AE90))*($L90+$M90))</f>
        <v>37294.722000000002</v>
      </c>
      <c r="AD91" s="294">
        <f>((SUM(AD90:$AE90))*($L90+$M90))</f>
        <v>35497.385999999999</v>
      </c>
      <c r="AE91" s="294">
        <f>((SUM(AE90:$AE90))*($L90+$M90))*18</f>
        <v>606600.9</v>
      </c>
      <c r="AF91" s="413">
        <f t="shared" si="2"/>
        <v>892826.65800000005</v>
      </c>
      <c r="AG91" s="278"/>
      <c r="AH91" s="278"/>
    </row>
    <row r="92" spans="1:34" s="296" customFormat="1" ht="13.15" customHeight="1" x14ac:dyDescent="0.2">
      <c r="A92" s="410">
        <v>34</v>
      </c>
      <c r="B92" s="686" t="s">
        <v>896</v>
      </c>
      <c r="C92" s="668" t="s">
        <v>897</v>
      </c>
      <c r="D92" s="668" t="s">
        <v>898</v>
      </c>
      <c r="E92" s="355"/>
      <c r="F92" s="674" t="s">
        <v>899</v>
      </c>
      <c r="G92" s="668" t="s">
        <v>900</v>
      </c>
      <c r="H92" s="264"/>
      <c r="I92" s="670">
        <v>190128</v>
      </c>
      <c r="J92" s="264"/>
      <c r="K92" s="266"/>
      <c r="L92" s="369">
        <f>$L$7</f>
        <v>1.6580000000000001E-2</v>
      </c>
      <c r="M92" s="268">
        <f>$M$7</f>
        <v>2.5000000000000001E-3</v>
      </c>
      <c r="N92" s="269"/>
      <c r="O92" s="270"/>
      <c r="P92" s="271"/>
      <c r="Q92" s="272"/>
      <c r="R92" s="273"/>
      <c r="S92" s="306" t="s">
        <v>693</v>
      </c>
      <c r="T92" s="276">
        <v>163346</v>
      </c>
      <c r="U92" s="276"/>
      <c r="V92" s="276">
        <v>9752</v>
      </c>
      <c r="W92" s="276">
        <v>9752</v>
      </c>
      <c r="X92" s="276">
        <v>9752</v>
      </c>
      <c r="Y92" s="276">
        <v>9752</v>
      </c>
      <c r="Z92" s="276">
        <v>9752</v>
      </c>
      <c r="AA92" s="276">
        <v>9752</v>
      </c>
      <c r="AB92" s="276">
        <v>9752</v>
      </c>
      <c r="AC92" s="276">
        <v>9752</v>
      </c>
      <c r="AD92" s="276">
        <v>9752</v>
      </c>
      <c r="AE92" s="276">
        <v>85330</v>
      </c>
      <c r="AF92" s="411">
        <f t="shared" si="2"/>
        <v>153594</v>
      </c>
      <c r="AG92" s="278"/>
      <c r="AH92" s="278"/>
    </row>
    <row r="93" spans="1:34" s="296" customFormat="1" ht="15.75" thickBot="1" x14ac:dyDescent="0.3">
      <c r="A93" s="412"/>
      <c r="B93" s="687"/>
      <c r="C93" s="669"/>
      <c r="D93" s="669"/>
      <c r="E93" s="284"/>
      <c r="F93" s="699"/>
      <c r="G93" s="676"/>
      <c r="H93" s="286"/>
      <c r="I93" s="690"/>
      <c r="J93" s="319"/>
      <c r="K93" s="320"/>
      <c r="L93" s="282"/>
      <c r="M93" s="282"/>
      <c r="N93" s="282"/>
      <c r="O93" s="289"/>
      <c r="P93" s="288"/>
      <c r="Q93" s="311"/>
      <c r="R93" s="312"/>
      <c r="S93" s="292" t="s">
        <v>695</v>
      </c>
      <c r="T93" s="376"/>
      <c r="U93" s="376"/>
      <c r="V93" s="294">
        <v>400</v>
      </c>
      <c r="W93" s="294">
        <v>411.63192000000004</v>
      </c>
      <c r="X93" s="294">
        <f>((SUM(X92:$AE92))*($L92+$M92))</f>
        <v>2930.5735199999999</v>
      </c>
      <c r="Y93" s="294">
        <f>((SUM(Y92:$AE92))*($L92+$M92))</f>
        <v>2744.5053600000001</v>
      </c>
      <c r="Z93" s="294">
        <f>((SUM(Z92:$AE92))*($L92+$M92))</f>
        <v>2558.4371999999998</v>
      </c>
      <c r="AA93" s="294">
        <f>((SUM(AA92:$AE92))*($L92+$M92))</f>
        <v>2372.36904</v>
      </c>
      <c r="AB93" s="294">
        <f>((SUM(AB92:$AE92))*($L92+$M92))</f>
        <v>2186.3008799999998</v>
      </c>
      <c r="AC93" s="294">
        <f>((SUM(AC92:$AE92))*($L92+$M92))</f>
        <v>2000.23272</v>
      </c>
      <c r="AD93" s="294">
        <f>((SUM(AD92:$AE92))*($L92+$M92))</f>
        <v>1814.1645599999999</v>
      </c>
      <c r="AE93" s="294">
        <f>((SUM(AE92:$AE92))*($L92+$M92))*8.8</f>
        <v>14327.248320000001</v>
      </c>
      <c r="AF93" s="413">
        <f t="shared" si="2"/>
        <v>30933.831599999998</v>
      </c>
      <c r="AG93" s="278"/>
      <c r="AH93" s="278"/>
    </row>
    <row r="94" spans="1:34" s="296" customFormat="1" ht="13.15" customHeight="1" x14ac:dyDescent="0.2">
      <c r="A94" s="410">
        <v>35</v>
      </c>
      <c r="B94" s="686" t="s">
        <v>901</v>
      </c>
      <c r="C94" s="692" t="s">
        <v>902</v>
      </c>
      <c r="D94" s="692" t="s">
        <v>903</v>
      </c>
      <c r="E94" s="355"/>
      <c r="F94" s="688" t="s">
        <v>806</v>
      </c>
      <c r="G94" s="668" t="s">
        <v>900</v>
      </c>
      <c r="H94" s="264"/>
      <c r="I94" s="670">
        <v>177076.43</v>
      </c>
      <c r="J94" s="264"/>
      <c r="K94" s="266"/>
      <c r="L94" s="369">
        <f>$L$7</f>
        <v>1.6580000000000001E-2</v>
      </c>
      <c r="M94" s="268">
        <f>$M$7</f>
        <v>2.5000000000000001E-3</v>
      </c>
      <c r="N94" s="269"/>
      <c r="O94" s="270"/>
      <c r="P94" s="271"/>
      <c r="Q94" s="272"/>
      <c r="R94" s="273"/>
      <c r="S94" s="306" t="s">
        <v>693</v>
      </c>
      <c r="T94" s="276">
        <v>154100</v>
      </c>
      <c r="U94" s="276"/>
      <c r="V94" s="276">
        <v>9200</v>
      </c>
      <c r="W94" s="276">
        <v>9200</v>
      </c>
      <c r="X94" s="276">
        <v>9200</v>
      </c>
      <c r="Y94" s="276">
        <v>9200</v>
      </c>
      <c r="Z94" s="276">
        <v>9200</v>
      </c>
      <c r="AA94" s="276">
        <v>9200</v>
      </c>
      <c r="AB94" s="276">
        <v>9200</v>
      </c>
      <c r="AC94" s="276">
        <v>9200</v>
      </c>
      <c r="AD94" s="276">
        <v>9200</v>
      </c>
      <c r="AE94" s="276">
        <v>80500</v>
      </c>
      <c r="AF94" s="411">
        <f t="shared" si="2"/>
        <v>144900</v>
      </c>
      <c r="AG94" s="278"/>
      <c r="AH94" s="278"/>
    </row>
    <row r="95" spans="1:34" s="296" customFormat="1" ht="15.75" thickBot="1" x14ac:dyDescent="0.3">
      <c r="A95" s="412"/>
      <c r="B95" s="691"/>
      <c r="C95" s="693"/>
      <c r="D95" s="693"/>
      <c r="E95" s="284"/>
      <c r="F95" s="698"/>
      <c r="G95" s="676"/>
      <c r="H95" s="286"/>
      <c r="I95" s="690"/>
      <c r="J95" s="319"/>
      <c r="K95" s="320"/>
      <c r="L95" s="282"/>
      <c r="M95" s="282"/>
      <c r="N95" s="282"/>
      <c r="O95" s="289"/>
      <c r="P95" s="288"/>
      <c r="Q95" s="311"/>
      <c r="R95" s="312"/>
      <c r="S95" s="292" t="s">
        <v>695</v>
      </c>
      <c r="T95" s="376"/>
      <c r="U95" s="376"/>
      <c r="V95" s="294">
        <v>400</v>
      </c>
      <c r="W95" s="294">
        <v>385.25</v>
      </c>
      <c r="X95" s="294">
        <f>((SUM(X94:$AE94))*($L94+$M94))</f>
        <v>2764.692</v>
      </c>
      <c r="Y95" s="294">
        <f>((SUM(Y94:$AE94))*($L94+$M94))</f>
        <v>2589.1559999999999</v>
      </c>
      <c r="Z95" s="294">
        <f>((SUM(Z94:$AE94))*($L94+$M94))</f>
        <v>2413.62</v>
      </c>
      <c r="AA95" s="294">
        <f>((SUM(AA94:$AE94))*($L94+$M94))</f>
        <v>2238.0839999999998</v>
      </c>
      <c r="AB95" s="294">
        <f>((SUM(AB94:$AE94))*($L94+$M94))</f>
        <v>2062.5479999999998</v>
      </c>
      <c r="AC95" s="294">
        <f>((SUM(AC94:$AE94))*($L94+$M94))</f>
        <v>1887.0119999999999</v>
      </c>
      <c r="AD95" s="294">
        <f>((SUM(AD94:$AE94))*($L94+$M94))</f>
        <v>1711.4759999999999</v>
      </c>
      <c r="AE95" s="294">
        <f>((SUM(AE94:$AE94))*($L94+$M94))*8.8</f>
        <v>13516.272000000001</v>
      </c>
      <c r="AF95" s="413">
        <f t="shared" si="2"/>
        <v>29182.86</v>
      </c>
      <c r="AG95" s="278"/>
      <c r="AH95" s="278"/>
    </row>
    <row r="96" spans="1:34" s="296" customFormat="1" ht="13.15" customHeight="1" x14ac:dyDescent="0.2">
      <c r="A96" s="410">
        <v>36</v>
      </c>
      <c r="B96" s="686" t="s">
        <v>904</v>
      </c>
      <c r="C96" s="692" t="s">
        <v>905</v>
      </c>
      <c r="D96" s="692" t="s">
        <v>906</v>
      </c>
      <c r="E96" s="355"/>
      <c r="F96" s="688" t="s">
        <v>907</v>
      </c>
      <c r="G96" s="668" t="s">
        <v>908</v>
      </c>
      <c r="H96" s="264"/>
      <c r="I96" s="670">
        <v>160577.24</v>
      </c>
      <c r="J96" s="264"/>
      <c r="K96" s="266"/>
      <c r="L96" s="369">
        <f>$L$7</f>
        <v>1.6580000000000001E-2</v>
      </c>
      <c r="M96" s="268">
        <f>$M$7</f>
        <v>2.5000000000000001E-3</v>
      </c>
      <c r="N96" s="269"/>
      <c r="O96" s="270"/>
      <c r="P96" s="271"/>
      <c r="Q96" s="272"/>
      <c r="R96" s="273"/>
      <c r="S96" s="306" t="s">
        <v>693</v>
      </c>
      <c r="T96" s="276">
        <v>140012</v>
      </c>
      <c r="U96" s="276"/>
      <c r="V96" s="276">
        <v>8236</v>
      </c>
      <c r="W96" s="276">
        <v>8236</v>
      </c>
      <c r="X96" s="276">
        <v>8236</v>
      </c>
      <c r="Y96" s="276">
        <v>8236</v>
      </c>
      <c r="Z96" s="276">
        <v>8236</v>
      </c>
      <c r="AA96" s="276">
        <v>8236</v>
      </c>
      <c r="AB96" s="276">
        <v>8236</v>
      </c>
      <c r="AC96" s="276">
        <v>8236</v>
      </c>
      <c r="AD96" s="276">
        <v>8236</v>
      </c>
      <c r="AE96" s="276">
        <v>74124</v>
      </c>
      <c r="AF96" s="411">
        <f t="shared" si="2"/>
        <v>131776</v>
      </c>
      <c r="AG96" s="278"/>
      <c r="AH96" s="278"/>
    </row>
    <row r="97" spans="1:34" s="296" customFormat="1" ht="15.75" thickBot="1" x14ac:dyDescent="0.3">
      <c r="A97" s="412"/>
      <c r="B97" s="691"/>
      <c r="C97" s="693"/>
      <c r="D97" s="693"/>
      <c r="E97" s="284"/>
      <c r="F97" s="694"/>
      <c r="G97" s="676"/>
      <c r="H97" s="286"/>
      <c r="I97" s="690"/>
      <c r="J97" s="319"/>
      <c r="K97" s="320"/>
      <c r="L97" s="282"/>
      <c r="M97" s="282"/>
      <c r="N97" s="282"/>
      <c r="O97" s="289"/>
      <c r="P97" s="288"/>
      <c r="Q97" s="311"/>
      <c r="R97" s="312"/>
      <c r="S97" s="292" t="s">
        <v>695</v>
      </c>
      <c r="T97" s="376"/>
      <c r="U97" s="376"/>
      <c r="V97" s="294">
        <v>250</v>
      </c>
      <c r="W97" s="294">
        <v>350.03000000000003</v>
      </c>
      <c r="X97" s="294">
        <f>((SUM(X96:$AE96))*($L96+$M96))</f>
        <v>2514.2860799999999</v>
      </c>
      <c r="Y97" s="294">
        <f>((SUM(Y96:$AE96))*($L96+$M96))</f>
        <v>2357.1432</v>
      </c>
      <c r="Z97" s="294">
        <f>((SUM(Z96:$AE96))*($L96+$M96))</f>
        <v>2200.0003200000001</v>
      </c>
      <c r="AA97" s="294">
        <f>((SUM(AA96:$AE96))*($L96+$M96))</f>
        <v>2042.85744</v>
      </c>
      <c r="AB97" s="294">
        <f>((SUM(AB96:$AE96))*($L96+$M96))</f>
        <v>1885.7145599999999</v>
      </c>
      <c r="AC97" s="294">
        <f>((SUM(AC96:$AE96))*($L96+$M96))</f>
        <v>1728.57168</v>
      </c>
      <c r="AD97" s="294">
        <f>((SUM(AD96:$AE96))*($L96+$M96))</f>
        <v>1571.4287999999999</v>
      </c>
      <c r="AE97" s="294">
        <f>((SUM(AE96:$AE96))*($L96+$M96))*8.8</f>
        <v>12445.716096000002</v>
      </c>
      <c r="AF97" s="413">
        <f t="shared" si="2"/>
        <v>26745.718176000002</v>
      </c>
      <c r="AG97" s="278"/>
      <c r="AH97" s="278"/>
    </row>
    <row r="98" spans="1:34" s="296" customFormat="1" ht="13.15" customHeight="1" x14ac:dyDescent="0.2">
      <c r="A98" s="410">
        <v>37</v>
      </c>
      <c r="B98" s="664" t="s">
        <v>909</v>
      </c>
      <c r="C98" s="666" t="s">
        <v>910</v>
      </c>
      <c r="D98" s="666" t="s">
        <v>911</v>
      </c>
      <c r="E98" s="355"/>
      <c r="F98" s="688" t="s">
        <v>912</v>
      </c>
      <c r="G98" s="668" t="s">
        <v>913</v>
      </c>
      <c r="H98" s="264"/>
      <c r="I98" s="678">
        <v>131127</v>
      </c>
      <c r="J98" s="264"/>
      <c r="K98" s="266"/>
      <c r="L98" s="369">
        <f>$L$7</f>
        <v>1.6580000000000001E-2</v>
      </c>
      <c r="M98" s="268">
        <f>$M$7</f>
        <v>2.5000000000000001E-3</v>
      </c>
      <c r="N98" s="269"/>
      <c r="O98" s="270"/>
      <c r="P98" s="271"/>
      <c r="Q98" s="272"/>
      <c r="R98" s="273"/>
      <c r="S98" s="306" t="s">
        <v>693</v>
      </c>
      <c r="T98" s="276">
        <v>114376</v>
      </c>
      <c r="U98" s="276"/>
      <c r="V98" s="276">
        <v>6728</v>
      </c>
      <c r="W98" s="276">
        <v>6728</v>
      </c>
      <c r="X98" s="276">
        <v>6728</v>
      </c>
      <c r="Y98" s="276">
        <v>6728</v>
      </c>
      <c r="Z98" s="276">
        <v>6728</v>
      </c>
      <c r="AA98" s="276">
        <v>6728</v>
      </c>
      <c r="AB98" s="276">
        <v>6728</v>
      </c>
      <c r="AC98" s="276">
        <v>6728</v>
      </c>
      <c r="AD98" s="276">
        <v>6728</v>
      </c>
      <c r="AE98" s="276">
        <v>60552</v>
      </c>
      <c r="AF98" s="411">
        <f t="shared" si="2"/>
        <v>107648</v>
      </c>
      <c r="AG98" s="278"/>
      <c r="AH98" s="278"/>
    </row>
    <row r="99" spans="1:34" s="296" customFormat="1" ht="15.75" thickBot="1" x14ac:dyDescent="0.3">
      <c r="A99" s="412"/>
      <c r="B99" s="695"/>
      <c r="C99" s="696"/>
      <c r="D99" s="696"/>
      <c r="E99" s="284"/>
      <c r="F99" s="694"/>
      <c r="G99" s="676"/>
      <c r="H99" s="286"/>
      <c r="I99" s="697"/>
      <c r="J99" s="319"/>
      <c r="K99" s="320"/>
      <c r="L99" s="282"/>
      <c r="M99" s="282"/>
      <c r="N99" s="282"/>
      <c r="O99" s="289"/>
      <c r="P99" s="288"/>
      <c r="Q99" s="311"/>
      <c r="R99" s="312"/>
      <c r="S99" s="292" t="s">
        <v>695</v>
      </c>
      <c r="T99" s="376"/>
      <c r="U99" s="376"/>
      <c r="V99" s="294">
        <v>360</v>
      </c>
      <c r="W99" s="294">
        <v>285.94</v>
      </c>
      <c r="X99" s="294">
        <f>((SUM(X98:$AE98))*($L98+$M98))</f>
        <v>2053.9238399999999</v>
      </c>
      <c r="Y99" s="294">
        <f>((SUM(Y98:$AE98))*($L98+$M98))</f>
        <v>1925.5536</v>
      </c>
      <c r="Z99" s="294">
        <f>((SUM(Z98:$AE98))*($L98+$M98))</f>
        <v>1797.18336</v>
      </c>
      <c r="AA99" s="294">
        <f>((SUM(AA98:$AE98))*($L98+$M98))</f>
        <v>1668.81312</v>
      </c>
      <c r="AB99" s="294">
        <f>((SUM(AB98:$AE98))*($L98+$M98))</f>
        <v>1540.4428800000001</v>
      </c>
      <c r="AC99" s="294">
        <f>((SUM(AC98:$AE98))*($L98+$M98))</f>
        <v>1412.0726400000001</v>
      </c>
      <c r="AD99" s="294">
        <f>((SUM(AD98:$AE98))*($L98+$M98))</f>
        <v>1283.7023999999999</v>
      </c>
      <c r="AE99" s="294">
        <f>((SUM(AE98:$AE98))*($L98+$M98))*9</f>
        <v>10397.989439999999</v>
      </c>
      <c r="AF99" s="413">
        <f t="shared" si="2"/>
        <v>22079.681279999997</v>
      </c>
      <c r="AG99" s="278"/>
      <c r="AH99" s="278"/>
    </row>
    <row r="100" spans="1:34" s="296" customFormat="1" ht="13.15" customHeight="1" x14ac:dyDescent="0.2">
      <c r="A100" s="410">
        <v>38</v>
      </c>
      <c r="B100" s="664" t="s">
        <v>914</v>
      </c>
      <c r="C100" s="666" t="s">
        <v>915</v>
      </c>
      <c r="D100" s="666" t="s">
        <v>916</v>
      </c>
      <c r="E100" s="355"/>
      <c r="F100" s="688" t="s">
        <v>917</v>
      </c>
      <c r="G100" s="668" t="s">
        <v>918</v>
      </c>
      <c r="H100" s="264"/>
      <c r="I100" s="678">
        <v>17365.23</v>
      </c>
      <c r="J100" s="264"/>
      <c r="K100" s="266"/>
      <c r="L100" s="369">
        <f>$L$7</f>
        <v>1.6580000000000001E-2</v>
      </c>
      <c r="M100" s="268">
        <f>$M$7</f>
        <v>2.5000000000000001E-3</v>
      </c>
      <c r="N100" s="269"/>
      <c r="O100" s="270"/>
      <c r="P100" s="271"/>
      <c r="Q100" s="272"/>
      <c r="R100" s="273"/>
      <c r="S100" s="306" t="s">
        <v>693</v>
      </c>
      <c r="T100" s="276">
        <v>14007</v>
      </c>
      <c r="U100" s="276"/>
      <c r="V100" s="276">
        <v>1932</v>
      </c>
      <c r="W100" s="276">
        <v>1932</v>
      </c>
      <c r="X100" s="276">
        <v>1932</v>
      </c>
      <c r="Y100" s="276">
        <v>1932</v>
      </c>
      <c r="Z100" s="276">
        <v>1932</v>
      </c>
      <c r="AA100" s="276">
        <v>1932</v>
      </c>
      <c r="AB100" s="276">
        <v>1932</v>
      </c>
      <c r="AC100" s="276">
        <v>1932</v>
      </c>
      <c r="AD100" s="276">
        <v>483</v>
      </c>
      <c r="AE100" s="316">
        <v>0</v>
      </c>
      <c r="AF100" s="411">
        <f t="shared" si="2"/>
        <v>12075</v>
      </c>
      <c r="AG100" s="278"/>
      <c r="AH100" s="278"/>
    </row>
    <row r="101" spans="1:34" s="296" customFormat="1" ht="15.75" thickBot="1" x14ac:dyDescent="0.3">
      <c r="A101" s="412"/>
      <c r="B101" s="695"/>
      <c r="C101" s="696"/>
      <c r="D101" s="696"/>
      <c r="E101" s="284"/>
      <c r="F101" s="694"/>
      <c r="G101" s="676"/>
      <c r="H101" s="286"/>
      <c r="I101" s="697"/>
      <c r="J101" s="319"/>
      <c r="K101" s="320"/>
      <c r="L101" s="282"/>
      <c r="M101" s="282"/>
      <c r="N101" s="282"/>
      <c r="O101" s="289"/>
      <c r="P101" s="288"/>
      <c r="Q101" s="311"/>
      <c r="R101" s="312"/>
      <c r="S101" s="292" t="s">
        <v>695</v>
      </c>
      <c r="T101" s="376"/>
      <c r="U101" s="376"/>
      <c r="V101" s="294">
        <v>360</v>
      </c>
      <c r="W101" s="294">
        <v>35.017499999999998</v>
      </c>
      <c r="X101" s="294">
        <f>((SUM(X100:$AE100))*($L100+$M100))</f>
        <v>230.39099999999999</v>
      </c>
      <c r="Y101" s="294">
        <f>((SUM(Y100:$AE100))*($L100+$M100))</f>
        <v>193.52843999999999</v>
      </c>
      <c r="Z101" s="294">
        <f>((SUM(Z100:$AE100))*($L100+$M100))</f>
        <v>156.66587999999999</v>
      </c>
      <c r="AA101" s="294">
        <f>((SUM(AA100:$AE100))*($L100+$M100))</f>
        <v>119.80332</v>
      </c>
      <c r="AB101" s="294">
        <f>((SUM(AB100:$AE100))*($L100+$M100))</f>
        <v>82.940759999999997</v>
      </c>
      <c r="AC101" s="294">
        <f>((SUM(AC100:$AE100))*($L100+$M100))</f>
        <v>46.078200000000002</v>
      </c>
      <c r="AD101" s="294">
        <f>((SUM(AD100:$AE100))*($L100+$M100))</f>
        <v>9.2156400000000005</v>
      </c>
      <c r="AE101" s="321">
        <f>((SUM(AE100:$AE100))*($L100+$M100))</f>
        <v>0</v>
      </c>
      <c r="AF101" s="413">
        <f t="shared" si="2"/>
        <v>838.62324000000001</v>
      </c>
      <c r="AG101" s="278"/>
      <c r="AH101" s="278"/>
    </row>
    <row r="102" spans="1:34" s="296" customFormat="1" ht="13.15" customHeight="1" x14ac:dyDescent="0.2">
      <c r="A102" s="410">
        <v>39</v>
      </c>
      <c r="B102" s="664" t="s">
        <v>919</v>
      </c>
      <c r="C102" s="666" t="s">
        <v>920</v>
      </c>
      <c r="D102" s="666" t="s">
        <v>921</v>
      </c>
      <c r="E102" s="355"/>
      <c r="F102" s="688" t="s">
        <v>922</v>
      </c>
      <c r="G102" s="668" t="s">
        <v>923</v>
      </c>
      <c r="H102" s="264"/>
      <c r="I102" s="678">
        <v>2227434</v>
      </c>
      <c r="J102" s="264"/>
      <c r="K102" s="266"/>
      <c r="L102" s="369">
        <f>$L$7</f>
        <v>1.6580000000000001E-2</v>
      </c>
      <c r="M102" s="268">
        <f>$M$7</f>
        <v>2.5000000000000001E-3</v>
      </c>
      <c r="N102" s="269"/>
      <c r="O102" s="270"/>
      <c r="P102" s="271"/>
      <c r="Q102" s="272"/>
      <c r="R102" s="273"/>
      <c r="S102" s="306" t="s">
        <v>693</v>
      </c>
      <c r="T102" s="276">
        <v>2149290</v>
      </c>
      <c r="U102" s="276"/>
      <c r="V102" s="276">
        <v>78144</v>
      </c>
      <c r="W102" s="276">
        <v>78156</v>
      </c>
      <c r="X102" s="276">
        <v>78156</v>
      </c>
      <c r="Y102" s="276">
        <v>78156</v>
      </c>
      <c r="Z102" s="276">
        <v>78156</v>
      </c>
      <c r="AA102" s="276">
        <v>78156</v>
      </c>
      <c r="AB102" s="276">
        <v>78156</v>
      </c>
      <c r="AC102" s="276">
        <v>78156</v>
      </c>
      <c r="AD102" s="276">
        <v>78156</v>
      </c>
      <c r="AE102" s="276">
        <v>1524042</v>
      </c>
      <c r="AF102" s="411">
        <f t="shared" si="2"/>
        <v>2071134</v>
      </c>
      <c r="AG102" s="278"/>
      <c r="AH102" s="278"/>
    </row>
    <row r="103" spans="1:34" s="296" customFormat="1" ht="15.75" thickBot="1" x14ac:dyDescent="0.3">
      <c r="A103" s="412"/>
      <c r="B103" s="695"/>
      <c r="C103" s="696"/>
      <c r="D103" s="696"/>
      <c r="E103" s="284"/>
      <c r="F103" s="694"/>
      <c r="G103" s="676"/>
      <c r="H103" s="286"/>
      <c r="I103" s="697"/>
      <c r="J103" s="319"/>
      <c r="K103" s="320"/>
      <c r="L103" s="282"/>
      <c r="M103" s="282"/>
      <c r="N103" s="282"/>
      <c r="O103" s="289"/>
      <c r="P103" s="288"/>
      <c r="Q103" s="311"/>
      <c r="R103" s="312"/>
      <c r="S103" s="292" t="s">
        <v>695</v>
      </c>
      <c r="T103" s="376"/>
      <c r="U103" s="376"/>
      <c r="V103" s="294">
        <v>4828.2325000000001</v>
      </c>
      <c r="W103" s="294">
        <v>5373.2250000000004</v>
      </c>
      <c r="X103" s="294">
        <f>((SUM(X102:$AE102))*($L102+$M102))</f>
        <v>39517.236720000001</v>
      </c>
      <c r="Y103" s="294">
        <f>((SUM(Y102:$AE102))*($L102+$M102))</f>
        <v>38026.020239999998</v>
      </c>
      <c r="Z103" s="294">
        <f>((SUM(Z102:$AE102))*($L102+$M102))</f>
        <v>36534.803760000003</v>
      </c>
      <c r="AA103" s="294">
        <f>((SUM(AA102:$AE102))*($L102+$M102))</f>
        <v>35043.58728</v>
      </c>
      <c r="AB103" s="294">
        <f>((SUM(AB102:$AE102))*($L102+$M102))</f>
        <v>33552.370799999997</v>
      </c>
      <c r="AC103" s="294">
        <f>((SUM(AC102:$AE102))*($L102+$M102))</f>
        <v>32061.154319999998</v>
      </c>
      <c r="AD103" s="294">
        <f>((SUM(AD102:$AE102))*($L102+$M102))</f>
        <v>30569.937839999999</v>
      </c>
      <c r="AE103" s="294">
        <f>((SUM(AE102:$AE102))*($L102+$M102))*19</f>
        <v>552495.70583999995</v>
      </c>
      <c r="AF103" s="413">
        <f t="shared" si="2"/>
        <v>797800.81679999991</v>
      </c>
      <c r="AG103" s="278"/>
      <c r="AH103" s="278"/>
    </row>
    <row r="104" spans="1:34" s="296" customFormat="1" ht="13.15" customHeight="1" x14ac:dyDescent="0.2">
      <c r="A104" s="410">
        <v>40</v>
      </c>
      <c r="B104" s="686" t="s">
        <v>924</v>
      </c>
      <c r="C104" s="692" t="s">
        <v>925</v>
      </c>
      <c r="D104" s="692" t="s">
        <v>926</v>
      </c>
      <c r="E104" s="355"/>
      <c r="F104" s="688" t="s">
        <v>927</v>
      </c>
      <c r="G104" s="668" t="s">
        <v>928</v>
      </c>
      <c r="H104" s="264"/>
      <c r="I104" s="670">
        <v>605017</v>
      </c>
      <c r="J104" s="264"/>
      <c r="K104" s="266"/>
      <c r="L104" s="369">
        <f>$L$7</f>
        <v>1.6580000000000001E-2</v>
      </c>
      <c r="M104" s="268">
        <f>$M$7</f>
        <v>2.5000000000000001E-3</v>
      </c>
      <c r="N104" s="269"/>
      <c r="O104" s="270"/>
      <c r="P104" s="271"/>
      <c r="Q104" s="272"/>
      <c r="R104" s="273"/>
      <c r="S104" s="306" t="s">
        <v>693</v>
      </c>
      <c r="T104" s="276">
        <v>568224</v>
      </c>
      <c r="U104" s="276"/>
      <c r="V104" s="276">
        <v>15714.46</v>
      </c>
      <c r="W104" s="276">
        <v>31568</v>
      </c>
      <c r="X104" s="276">
        <v>31568</v>
      </c>
      <c r="Y104" s="276">
        <v>31568</v>
      </c>
      <c r="Z104" s="276">
        <v>31568</v>
      </c>
      <c r="AA104" s="276">
        <v>31568</v>
      </c>
      <c r="AB104" s="276">
        <v>31568</v>
      </c>
      <c r="AC104" s="276">
        <v>31568</v>
      </c>
      <c r="AD104" s="276">
        <v>31568</v>
      </c>
      <c r="AE104" s="276">
        <v>315680</v>
      </c>
      <c r="AF104" s="411">
        <f t="shared" si="2"/>
        <v>536656</v>
      </c>
      <c r="AG104" s="278"/>
      <c r="AH104" s="278"/>
    </row>
    <row r="105" spans="1:34" s="296" customFormat="1" ht="15.75" thickBot="1" x14ac:dyDescent="0.3">
      <c r="A105" s="412"/>
      <c r="B105" s="691"/>
      <c r="C105" s="693"/>
      <c r="D105" s="693"/>
      <c r="E105" s="284"/>
      <c r="F105" s="694"/>
      <c r="G105" s="676"/>
      <c r="H105" s="286"/>
      <c r="I105" s="690"/>
      <c r="J105" s="319"/>
      <c r="K105" s="320"/>
      <c r="L105" s="282"/>
      <c r="M105" s="282"/>
      <c r="N105" s="282"/>
      <c r="O105" s="289"/>
      <c r="P105" s="288"/>
      <c r="Q105" s="311"/>
      <c r="R105" s="312"/>
      <c r="S105" s="292" t="s">
        <v>695</v>
      </c>
      <c r="T105" s="376"/>
      <c r="U105" s="376"/>
      <c r="V105" s="294">
        <v>1492.5425</v>
      </c>
      <c r="W105" s="294">
        <v>1431.9244800000001</v>
      </c>
      <c r="X105" s="294">
        <f>((SUM(X104:$AE104))*($L104+$M104))</f>
        <v>10239.396479999999</v>
      </c>
      <c r="Y105" s="294">
        <f>((SUM(Y104:$AE104))*($L104+$M104))</f>
        <v>9637.0790400000005</v>
      </c>
      <c r="Z105" s="294">
        <f>((SUM(Z104:$AE104))*($L104+$M104))</f>
        <v>9034.7615999999998</v>
      </c>
      <c r="AA105" s="294">
        <f>((SUM(AA104:$AE104))*($L104+$M104))</f>
        <v>8432.4441599999991</v>
      </c>
      <c r="AB105" s="294">
        <f>((SUM(AB104:$AE104))*($L104+$M104))</f>
        <v>7830.1267200000002</v>
      </c>
      <c r="AC105" s="294">
        <f>((SUM(AC104:$AE104))*($L104+$M104))</f>
        <v>7227.8092799999995</v>
      </c>
      <c r="AD105" s="294">
        <f>((SUM(AD104:$AE104))*($L104+$M104))</f>
        <v>6625.4918399999997</v>
      </c>
      <c r="AE105" s="294">
        <f>((SUM(AE104:$AE104))*($L104+$M104))*9</f>
        <v>54208.569600000003</v>
      </c>
      <c r="AF105" s="413">
        <f t="shared" si="2"/>
        <v>113235.67872</v>
      </c>
      <c r="AG105" s="278"/>
      <c r="AH105" s="278"/>
    </row>
    <row r="106" spans="1:34" s="296" customFormat="1" ht="13.15" hidden="1" customHeight="1" outlineLevel="1" x14ac:dyDescent="0.2">
      <c r="A106" s="410">
        <v>41</v>
      </c>
      <c r="B106" s="686" t="s">
        <v>929</v>
      </c>
      <c r="C106" s="668" t="s">
        <v>930</v>
      </c>
      <c r="D106" s="668" t="s">
        <v>931</v>
      </c>
      <c r="E106" s="355"/>
      <c r="F106" s="688" t="s">
        <v>932</v>
      </c>
      <c r="G106" s="668" t="s">
        <v>933</v>
      </c>
      <c r="H106" s="264"/>
      <c r="I106" s="678">
        <v>33731</v>
      </c>
      <c r="J106" s="264"/>
      <c r="K106" s="266"/>
      <c r="L106" s="369">
        <f>$L$7</f>
        <v>1.6580000000000001E-2</v>
      </c>
      <c r="M106" s="268">
        <f>$M$7</f>
        <v>2.5000000000000001E-3</v>
      </c>
      <c r="N106" s="269"/>
      <c r="O106" s="270"/>
      <c r="P106" s="271"/>
      <c r="Q106" s="272"/>
      <c r="R106" s="273"/>
      <c r="S106" s="306" t="s">
        <v>693</v>
      </c>
      <c r="T106" s="276">
        <v>31920</v>
      </c>
      <c r="U106" s="276"/>
      <c r="V106" s="276">
        <v>1811.17</v>
      </c>
      <c r="W106" s="276">
        <v>3648</v>
      </c>
      <c r="X106" s="276"/>
      <c r="Y106" s="276"/>
      <c r="Z106" s="276"/>
      <c r="AA106" s="276"/>
      <c r="AB106" s="276"/>
      <c r="AC106" s="276"/>
      <c r="AD106" s="276"/>
      <c r="AE106" s="276"/>
      <c r="AF106" s="411">
        <f t="shared" si="2"/>
        <v>0</v>
      </c>
      <c r="AG106" s="278"/>
      <c r="AH106" s="278"/>
    </row>
    <row r="107" spans="1:34" s="296" customFormat="1" ht="15.75" hidden="1" outlineLevel="1" thickBot="1" x14ac:dyDescent="0.3">
      <c r="A107" s="412"/>
      <c r="B107" s="687"/>
      <c r="C107" s="669"/>
      <c r="D107" s="669"/>
      <c r="E107" s="284"/>
      <c r="F107" s="689"/>
      <c r="G107" s="676"/>
      <c r="H107" s="286"/>
      <c r="I107" s="690"/>
      <c r="J107" s="319"/>
      <c r="K107" s="320"/>
      <c r="L107" s="282"/>
      <c r="M107" s="282"/>
      <c r="N107" s="282"/>
      <c r="O107" s="289"/>
      <c r="P107" s="288"/>
      <c r="Q107" s="311"/>
      <c r="R107" s="312"/>
      <c r="S107" s="292" t="s">
        <v>695</v>
      </c>
      <c r="T107" s="376"/>
      <c r="U107" s="376"/>
      <c r="V107" s="294">
        <v>110</v>
      </c>
      <c r="W107" s="294"/>
      <c r="X107" s="294">
        <f>((SUM(X106:$AE106))*($L106+$M106))</f>
        <v>0</v>
      </c>
      <c r="Y107" s="294">
        <f>((SUM(Y106:$AE106))*($L106+$M106))</f>
        <v>0</v>
      </c>
      <c r="Z107" s="294">
        <f>((SUM(Z106:$AE106))*($L106+$M106))</f>
        <v>0</v>
      </c>
      <c r="AA107" s="294">
        <f>((SUM(AA106:$AE106))*($L106+$M106))</f>
        <v>0</v>
      </c>
      <c r="AB107" s="294">
        <f>((SUM(AB106:$AE106))*($L106+$M106))</f>
        <v>0</v>
      </c>
      <c r="AC107" s="294">
        <f>((SUM(AC106:$AE106))*($L106+$M106))</f>
        <v>0</v>
      </c>
      <c r="AD107" s="294">
        <f>((SUM(AD106:$AE106))*($L106+$M106))</f>
        <v>0</v>
      </c>
      <c r="AE107" s="294">
        <f>((SUM(AE106:$AE106))*($L106+$M106))</f>
        <v>0</v>
      </c>
      <c r="AF107" s="413">
        <f t="shared" si="2"/>
        <v>0</v>
      </c>
      <c r="AG107" s="278"/>
      <c r="AH107" s="278"/>
    </row>
    <row r="108" spans="1:34" s="296" customFormat="1" ht="13.15" customHeight="1" collapsed="1" x14ac:dyDescent="0.2">
      <c r="A108" s="410">
        <v>41</v>
      </c>
      <c r="B108" s="686" t="s">
        <v>934</v>
      </c>
      <c r="C108" s="668" t="s">
        <v>935</v>
      </c>
      <c r="D108" s="668" t="s">
        <v>936</v>
      </c>
      <c r="E108" s="355"/>
      <c r="F108" s="688" t="s">
        <v>937</v>
      </c>
      <c r="G108" s="668" t="s">
        <v>938</v>
      </c>
      <c r="H108" s="264"/>
      <c r="I108" s="678">
        <v>363119</v>
      </c>
      <c r="J108" s="264"/>
      <c r="K108" s="266"/>
      <c r="L108" s="369">
        <f>$L$7</f>
        <v>1.6580000000000001E-2</v>
      </c>
      <c r="M108" s="268">
        <f>$M$7</f>
        <v>2.5000000000000001E-3</v>
      </c>
      <c r="N108" s="269"/>
      <c r="O108" s="270"/>
      <c r="P108" s="271"/>
      <c r="Q108" s="272"/>
      <c r="R108" s="273"/>
      <c r="S108" s="306" t="s">
        <v>693</v>
      </c>
      <c r="T108" s="276">
        <v>352205</v>
      </c>
      <c r="U108" s="276"/>
      <c r="V108" s="316">
        <v>0</v>
      </c>
      <c r="W108" s="276">
        <v>18788</v>
      </c>
      <c r="X108" s="276">
        <v>18788</v>
      </c>
      <c r="Y108" s="276">
        <v>18788</v>
      </c>
      <c r="Z108" s="276">
        <v>18788</v>
      </c>
      <c r="AA108" s="276">
        <v>18788</v>
      </c>
      <c r="AB108" s="276">
        <v>18788</v>
      </c>
      <c r="AC108" s="276">
        <v>18788</v>
      </c>
      <c r="AD108" s="276">
        <v>18788</v>
      </c>
      <c r="AE108" s="276">
        <v>201901</v>
      </c>
      <c r="AF108" s="411">
        <f t="shared" si="2"/>
        <v>333417</v>
      </c>
      <c r="AG108" s="278"/>
      <c r="AH108" s="278"/>
    </row>
    <row r="109" spans="1:34" s="296" customFormat="1" ht="15.75" thickBot="1" x14ac:dyDescent="0.3">
      <c r="A109" s="412"/>
      <c r="B109" s="687"/>
      <c r="C109" s="669"/>
      <c r="D109" s="669"/>
      <c r="E109" s="284"/>
      <c r="F109" s="689"/>
      <c r="G109" s="676"/>
      <c r="H109" s="286"/>
      <c r="I109" s="690"/>
      <c r="J109" s="319"/>
      <c r="K109" s="320"/>
      <c r="L109" s="282"/>
      <c r="M109" s="282"/>
      <c r="N109" s="282"/>
      <c r="O109" s="289"/>
      <c r="P109" s="288"/>
      <c r="Q109" s="311"/>
      <c r="R109" s="312"/>
      <c r="S109" s="292" t="s">
        <v>695</v>
      </c>
      <c r="T109" s="376"/>
      <c r="U109" s="376"/>
      <c r="V109" s="294">
        <v>600</v>
      </c>
      <c r="W109" s="294">
        <v>887.5566</v>
      </c>
      <c r="X109" s="294">
        <f>((SUM(X108:$AE108))*($L108+$M108))</f>
        <v>6361.5963599999995</v>
      </c>
      <c r="Y109" s="294">
        <f>((SUM(Y108:$AE108))*($L108+$M108))</f>
        <v>6003.1213200000002</v>
      </c>
      <c r="Z109" s="294">
        <f>((SUM(Z108:$AE108))*($L108+$M108))</f>
        <v>5644.6462799999999</v>
      </c>
      <c r="AA109" s="294">
        <f>((SUM(AA108:$AE108))*($L108+$M108))</f>
        <v>5286.1712399999997</v>
      </c>
      <c r="AB109" s="294">
        <f>((SUM(AB108:$AE108))*($L108+$M108))</f>
        <v>4927.6962000000003</v>
      </c>
      <c r="AC109" s="294">
        <f>((SUM(AC108:$AE108))*($L108+$M108))</f>
        <v>4569.2211600000001</v>
      </c>
      <c r="AD109" s="294">
        <f>((SUM(AD108:$AE108))*($L108+$M108))</f>
        <v>4210.7461199999998</v>
      </c>
      <c r="AE109" s="294">
        <f>((SUM(AE108:$AE108))*($L108+$M108))*10</f>
        <v>38522.710800000001</v>
      </c>
      <c r="AF109" s="413">
        <f t="shared" si="2"/>
        <v>75525.909480000002</v>
      </c>
      <c r="AG109" s="278"/>
      <c r="AH109" s="278"/>
    </row>
    <row r="110" spans="1:34" s="296" customFormat="1" ht="13.15" customHeight="1" x14ac:dyDescent="0.2">
      <c r="A110" s="410">
        <v>42</v>
      </c>
      <c r="B110" s="686" t="s">
        <v>939</v>
      </c>
      <c r="C110" s="668" t="s">
        <v>940</v>
      </c>
      <c r="D110" s="668" t="s">
        <v>941</v>
      </c>
      <c r="E110" s="355"/>
      <c r="F110" s="688" t="s">
        <v>937</v>
      </c>
      <c r="G110" s="668" t="s">
        <v>942</v>
      </c>
      <c r="H110" s="264"/>
      <c r="I110" s="678">
        <v>824810</v>
      </c>
      <c r="J110" s="264"/>
      <c r="K110" s="266"/>
      <c r="L110" s="369">
        <f>$L$7</f>
        <v>1.6580000000000001E-2</v>
      </c>
      <c r="M110" s="268">
        <f>$M$7</f>
        <v>2.5000000000000001E-3</v>
      </c>
      <c r="N110" s="269"/>
      <c r="O110" s="270"/>
      <c r="P110" s="271"/>
      <c r="Q110" s="272"/>
      <c r="R110" s="273"/>
      <c r="S110" s="306" t="s">
        <v>693</v>
      </c>
      <c r="T110" s="276"/>
      <c r="U110" s="276"/>
      <c r="V110" s="316">
        <v>0</v>
      </c>
      <c r="W110" s="316">
        <v>0</v>
      </c>
      <c r="X110" s="276">
        <v>29693</v>
      </c>
      <c r="Y110" s="276">
        <v>29724</v>
      </c>
      <c r="Z110" s="276">
        <v>29724</v>
      </c>
      <c r="AA110" s="276">
        <v>29724</v>
      </c>
      <c r="AB110" s="276">
        <v>29724</v>
      </c>
      <c r="AC110" s="276">
        <v>29724</v>
      </c>
      <c r="AD110" s="276">
        <v>29724</v>
      </c>
      <c r="AE110" s="276">
        <v>616773</v>
      </c>
      <c r="AF110" s="411">
        <f t="shared" si="2"/>
        <v>824810</v>
      </c>
      <c r="AG110" s="278"/>
      <c r="AH110" s="278"/>
    </row>
    <row r="111" spans="1:34" s="296" customFormat="1" ht="15.75" thickBot="1" x14ac:dyDescent="0.3">
      <c r="A111" s="412"/>
      <c r="B111" s="687"/>
      <c r="C111" s="669"/>
      <c r="D111" s="669"/>
      <c r="E111" s="284"/>
      <c r="F111" s="689"/>
      <c r="G111" s="676"/>
      <c r="H111" s="286"/>
      <c r="I111" s="690"/>
      <c r="J111" s="319"/>
      <c r="K111" s="320"/>
      <c r="L111" s="282"/>
      <c r="M111" s="282"/>
      <c r="N111" s="282"/>
      <c r="O111" s="289"/>
      <c r="P111" s="288"/>
      <c r="Q111" s="311"/>
      <c r="R111" s="312"/>
      <c r="S111" s="292" t="s">
        <v>695</v>
      </c>
      <c r="T111" s="376"/>
      <c r="U111" s="376"/>
      <c r="V111" s="294">
        <v>1058</v>
      </c>
      <c r="W111" s="294">
        <v>3299.2400000000002</v>
      </c>
      <c r="X111" s="294">
        <f>((SUM(X110:$AE110))*($L110+$M110))</f>
        <v>15737.3748</v>
      </c>
      <c r="Y111" s="294">
        <f>((SUM(Y110:$AE110))*($L110+$M110))</f>
        <v>15170.83236</v>
      </c>
      <c r="Z111" s="294">
        <f>((SUM(Z110:$AE110))*($L110+$M110))</f>
        <v>14603.69844</v>
      </c>
      <c r="AA111" s="294">
        <f>((SUM(AA110:$AE110))*($L110+$M110))</f>
        <v>14036.56452</v>
      </c>
      <c r="AB111" s="294">
        <f>((SUM(AB110:$AE110))*($L110+$M110))</f>
        <v>13469.4306</v>
      </c>
      <c r="AC111" s="294">
        <f>((SUM(AC110:$AE110))*($L110+$M110))</f>
        <v>12902.296679999999</v>
      </c>
      <c r="AD111" s="294">
        <f>((SUM(AD110:$AE110))*($L110+$M110))</f>
        <v>12335.162759999999</v>
      </c>
      <c r="AE111" s="294">
        <f>((SUM(AE110:$AE110))*($L110+$M110))*20</f>
        <v>235360.57679999998</v>
      </c>
      <c r="AF111" s="413">
        <f t="shared" si="2"/>
        <v>333615.93695999996</v>
      </c>
      <c r="AG111" s="278"/>
      <c r="AH111" s="278"/>
    </row>
    <row r="112" spans="1:34" s="296" customFormat="1" ht="13.15" customHeight="1" x14ac:dyDescent="0.2">
      <c r="A112" s="410">
        <v>43</v>
      </c>
      <c r="B112" s="680" t="s">
        <v>943</v>
      </c>
      <c r="C112" s="684" t="s">
        <v>944</v>
      </c>
      <c r="D112" s="682" t="s">
        <v>945</v>
      </c>
      <c r="E112" s="355"/>
      <c r="F112" s="674" t="s">
        <v>946</v>
      </c>
      <c r="G112" s="668" t="s">
        <v>947</v>
      </c>
      <c r="H112" s="264"/>
      <c r="I112" s="670">
        <v>9703992</v>
      </c>
      <c r="J112" s="264"/>
      <c r="K112" s="266"/>
      <c r="L112" s="369">
        <f>$L$7</f>
        <v>1.6580000000000001E-2</v>
      </c>
      <c r="M112" s="268">
        <f>$M$7</f>
        <v>2.5000000000000001E-3</v>
      </c>
      <c r="N112" s="269"/>
      <c r="O112" s="270"/>
      <c r="P112" s="271"/>
      <c r="Q112" s="272"/>
      <c r="R112" s="273"/>
      <c r="S112" s="306" t="s">
        <v>693</v>
      </c>
      <c r="T112" s="276"/>
      <c r="U112" s="276"/>
      <c r="V112" s="316">
        <v>0</v>
      </c>
      <c r="W112" s="316">
        <v>0</v>
      </c>
      <c r="X112" s="276">
        <v>343399</v>
      </c>
      <c r="Y112" s="375">
        <v>343508</v>
      </c>
      <c r="Z112" s="276">
        <v>343508</v>
      </c>
      <c r="AA112" s="276">
        <v>343508</v>
      </c>
      <c r="AB112" s="276">
        <v>343508</v>
      </c>
      <c r="AC112" s="276">
        <v>343508</v>
      </c>
      <c r="AD112" s="276">
        <v>343508</v>
      </c>
      <c r="AE112" s="276">
        <v>7299545</v>
      </c>
      <c r="AF112" s="411">
        <f t="shared" si="2"/>
        <v>9703992</v>
      </c>
      <c r="AG112" s="278"/>
      <c r="AH112" s="278"/>
    </row>
    <row r="113" spans="1:34" s="296" customFormat="1" ht="15.75" thickBot="1" x14ac:dyDescent="0.3">
      <c r="A113" s="412"/>
      <c r="B113" s="681"/>
      <c r="C113" s="685"/>
      <c r="D113" s="683"/>
      <c r="E113" s="284"/>
      <c r="F113" s="675"/>
      <c r="G113" s="676"/>
      <c r="H113" s="286"/>
      <c r="I113" s="671"/>
      <c r="J113" s="319"/>
      <c r="K113" s="320"/>
      <c r="L113" s="282"/>
      <c r="M113" s="282"/>
      <c r="N113" s="282"/>
      <c r="O113" s="289"/>
      <c r="P113" s="288"/>
      <c r="Q113" s="311"/>
      <c r="R113" s="312"/>
      <c r="S113" s="292" t="s">
        <v>695</v>
      </c>
      <c r="T113" s="376"/>
      <c r="U113" s="376"/>
      <c r="V113" s="294">
        <v>3000</v>
      </c>
      <c r="W113" s="294">
        <v>24259.98</v>
      </c>
      <c r="X113" s="294">
        <f>((SUM(X112:$AE112))*($L112+$M112))+470</f>
        <v>185622.16735999999</v>
      </c>
      <c r="Y113" s="294">
        <f>((SUM(Y112:$AE112))*($L112+$M112))</f>
        <v>178600.11444</v>
      </c>
      <c r="Z113" s="294">
        <f>((SUM(Z112:$AE112))*($L112+$M112))</f>
        <v>172045.98180000001</v>
      </c>
      <c r="AA113" s="294">
        <f>((SUM(AA112:$AE112))*($L112+$M112))</f>
        <v>165491.84915999998</v>
      </c>
      <c r="AB113" s="294">
        <f>((SUM(AB112:$AE112))*($L112+$M112))</f>
        <v>158937.71651999999</v>
      </c>
      <c r="AC113" s="294">
        <f>((SUM(AC112:$AE112))*($L112+$M112))</f>
        <v>152383.58387999999</v>
      </c>
      <c r="AD113" s="294">
        <f>((SUM(AD112:$AE112))*($L112+$M112))</f>
        <v>145829.45123999999</v>
      </c>
      <c r="AE113" s="294">
        <f>((SUM(AE112:$AE112))*($L112+$M112))*21</f>
        <v>2924781.6905999999</v>
      </c>
      <c r="AF113" s="413">
        <f t="shared" si="2"/>
        <v>4083692.5549999997</v>
      </c>
      <c r="AG113" s="278"/>
      <c r="AH113" s="278"/>
    </row>
    <row r="114" spans="1:34" s="296" customFormat="1" ht="13.15" customHeight="1" x14ac:dyDescent="0.2">
      <c r="A114" s="410">
        <v>44</v>
      </c>
      <c r="B114" s="680" t="s">
        <v>948</v>
      </c>
      <c r="C114" s="682" t="s">
        <v>949</v>
      </c>
      <c r="D114" s="682" t="s">
        <v>950</v>
      </c>
      <c r="E114" s="355"/>
      <c r="F114" s="674" t="s">
        <v>946</v>
      </c>
      <c r="G114" s="668" t="s">
        <v>951</v>
      </c>
      <c r="H114" s="264"/>
      <c r="I114" s="678">
        <v>43430</v>
      </c>
      <c r="J114" s="264"/>
      <c r="K114" s="266"/>
      <c r="L114" s="369">
        <f>$L$7</f>
        <v>1.6580000000000001E-2</v>
      </c>
      <c r="M114" s="268">
        <f>$M$7</f>
        <v>2.5000000000000001E-3</v>
      </c>
      <c r="N114" s="269"/>
      <c r="O114" s="270"/>
      <c r="P114" s="271"/>
      <c r="Q114" s="272"/>
      <c r="R114" s="273"/>
      <c r="S114" s="306" t="s">
        <v>693</v>
      </c>
      <c r="T114" s="276">
        <v>43430</v>
      </c>
      <c r="U114" s="276"/>
      <c r="V114" s="316">
        <v>0</v>
      </c>
      <c r="W114" s="276">
        <v>4688</v>
      </c>
      <c r="X114" s="276">
        <v>4696</v>
      </c>
      <c r="Y114" s="276">
        <v>4696</v>
      </c>
      <c r="Z114" s="276">
        <v>4696</v>
      </c>
      <c r="AA114" s="276">
        <v>4696</v>
      </c>
      <c r="AB114" s="276">
        <v>4696</v>
      </c>
      <c r="AC114" s="276">
        <v>4696</v>
      </c>
      <c r="AD114" s="276">
        <v>4696</v>
      </c>
      <c r="AE114" s="276">
        <v>5870</v>
      </c>
      <c r="AF114" s="411">
        <f t="shared" si="2"/>
        <v>38742</v>
      </c>
      <c r="AG114" s="278"/>
      <c r="AH114" s="278"/>
    </row>
    <row r="115" spans="1:34" s="296" customFormat="1" ht="15.75" thickBot="1" x14ac:dyDescent="0.3">
      <c r="A115" s="412"/>
      <c r="B115" s="681"/>
      <c r="C115" s="683"/>
      <c r="D115" s="683"/>
      <c r="E115" s="284"/>
      <c r="F115" s="675"/>
      <c r="G115" s="676"/>
      <c r="H115" s="286"/>
      <c r="I115" s="679"/>
      <c r="J115" s="319"/>
      <c r="K115" s="320"/>
      <c r="L115" s="282"/>
      <c r="M115" s="282"/>
      <c r="N115" s="282"/>
      <c r="O115" s="289"/>
      <c r="P115" s="288"/>
      <c r="Q115" s="311"/>
      <c r="R115" s="312"/>
      <c r="S115" s="292" t="s">
        <v>695</v>
      </c>
      <c r="T115" s="376"/>
      <c r="U115" s="376"/>
      <c r="V115" s="294">
        <v>80</v>
      </c>
      <c r="W115" s="294">
        <v>823</v>
      </c>
      <c r="X115" s="294">
        <f>((SUM(X114:$AE114))*($L114+$M114))</f>
        <v>739.19736</v>
      </c>
      <c r="Y115" s="294">
        <f>((SUM(Y114:$AE114))*($L114+$M114))</f>
        <v>649.59767999999997</v>
      </c>
      <c r="Z115" s="294">
        <f>((SUM(Z114:$AE114))*($L114+$M114))</f>
        <v>559.99800000000005</v>
      </c>
      <c r="AA115" s="294">
        <f>((SUM(AA114:$AE114))*($L114+$M114))</f>
        <v>470.39832000000001</v>
      </c>
      <c r="AB115" s="294">
        <f>((SUM(AB114:$AE114))*($L114+$M114))</f>
        <v>380.79863999999998</v>
      </c>
      <c r="AC115" s="294">
        <f>((SUM(AC114:$AE114))*($L114+$M114))</f>
        <v>291.19896</v>
      </c>
      <c r="AD115" s="294">
        <f>((SUM(AD114:$AE114))*($L114+$M114))</f>
        <v>201.59927999999999</v>
      </c>
      <c r="AE115" s="294">
        <f>((SUM(AE114:$AE114))*($L114+$M114))*2</f>
        <v>223.9992</v>
      </c>
      <c r="AF115" s="413">
        <f t="shared" si="2"/>
        <v>3516.7874400000001</v>
      </c>
      <c r="AG115" s="278"/>
      <c r="AH115" s="278"/>
    </row>
    <row r="116" spans="1:34" s="296" customFormat="1" ht="13.15" customHeight="1" x14ac:dyDescent="0.2">
      <c r="A116" s="410">
        <v>45</v>
      </c>
      <c r="B116" s="664" t="s">
        <v>952</v>
      </c>
      <c r="C116" s="666" t="s">
        <v>953</v>
      </c>
      <c r="D116" s="666" t="s">
        <v>954</v>
      </c>
      <c r="E116" s="355"/>
      <c r="F116" s="674" t="s">
        <v>955</v>
      </c>
      <c r="G116" s="668" t="s">
        <v>956</v>
      </c>
      <c r="H116" s="264"/>
      <c r="I116" s="678">
        <v>195366</v>
      </c>
      <c r="J116" s="264"/>
      <c r="K116" s="266"/>
      <c r="L116" s="369">
        <f>$L$7</f>
        <v>1.6580000000000001E-2</v>
      </c>
      <c r="M116" s="268">
        <f>$M$7</f>
        <v>2.5000000000000001E-3</v>
      </c>
      <c r="N116" s="269"/>
      <c r="O116" s="270"/>
      <c r="P116" s="271"/>
      <c r="Q116" s="272"/>
      <c r="R116" s="273"/>
      <c r="S116" s="306" t="s">
        <v>693</v>
      </c>
      <c r="T116" s="276">
        <v>195366</v>
      </c>
      <c r="U116" s="276"/>
      <c r="V116" s="316">
        <v>0</v>
      </c>
      <c r="W116" s="276">
        <v>86826</v>
      </c>
      <c r="X116" s="276">
        <v>86832</v>
      </c>
      <c r="Y116" s="276">
        <v>21708</v>
      </c>
      <c r="Z116" s="316">
        <v>0</v>
      </c>
      <c r="AA116" s="316">
        <v>0</v>
      </c>
      <c r="AB116" s="316">
        <v>0</v>
      </c>
      <c r="AC116" s="316">
        <v>0</v>
      </c>
      <c r="AD116" s="316">
        <v>0</v>
      </c>
      <c r="AE116" s="316">
        <v>0</v>
      </c>
      <c r="AF116" s="411">
        <f t="shared" si="2"/>
        <v>108540</v>
      </c>
      <c r="AG116" s="278"/>
      <c r="AH116" s="278"/>
    </row>
    <row r="117" spans="1:34" s="296" customFormat="1" ht="15.75" thickBot="1" x14ac:dyDescent="0.3">
      <c r="A117" s="412"/>
      <c r="B117" s="665"/>
      <c r="C117" s="667"/>
      <c r="D117" s="667"/>
      <c r="E117" s="284"/>
      <c r="F117" s="675"/>
      <c r="G117" s="676"/>
      <c r="H117" s="286"/>
      <c r="I117" s="679"/>
      <c r="J117" s="319"/>
      <c r="K117" s="320"/>
      <c r="L117" s="282"/>
      <c r="M117" s="282"/>
      <c r="N117" s="282"/>
      <c r="O117" s="289"/>
      <c r="P117" s="288"/>
      <c r="Q117" s="311"/>
      <c r="R117" s="312"/>
      <c r="S117" s="292" t="s">
        <v>695</v>
      </c>
      <c r="T117" s="376"/>
      <c r="U117" s="376"/>
      <c r="V117" s="294">
        <v>500</v>
      </c>
      <c r="W117" s="294">
        <v>488.41500000000002</v>
      </c>
      <c r="X117" s="294">
        <f>((SUM(X116:$AE116))*($L116+$M116))</f>
        <v>2070.9432000000002</v>
      </c>
      <c r="Y117" s="294">
        <f>((SUM(Y116:$AE116))*($L116+$M116))</f>
        <v>414.18864000000002</v>
      </c>
      <c r="Z117" s="321">
        <f>((SUM(Z116:$AE116))*($L116+$M116))</f>
        <v>0</v>
      </c>
      <c r="AA117" s="321">
        <f>((SUM(AA116:$AE116))*($L116+$M116))</f>
        <v>0</v>
      </c>
      <c r="AB117" s="321">
        <f>((SUM(AB116:$AE116))*($L116+$M116))</f>
        <v>0</v>
      </c>
      <c r="AC117" s="321">
        <f>((SUM(AC116:$AE116))*($L116+$M116))</f>
        <v>0</v>
      </c>
      <c r="AD117" s="321">
        <f>((SUM(AD116:$AE116))*($L116+$M116))</f>
        <v>0</v>
      </c>
      <c r="AE117" s="321">
        <f>((SUM(AE116:$AE116))*($L116+$M116))</f>
        <v>0</v>
      </c>
      <c r="AF117" s="413">
        <f t="shared" si="2"/>
        <v>2485.13184</v>
      </c>
      <c r="AG117" s="278"/>
      <c r="AH117" s="278"/>
    </row>
    <row r="118" spans="1:34" s="296" customFormat="1" ht="13.15" customHeight="1" x14ac:dyDescent="0.2">
      <c r="A118" s="410">
        <v>46</v>
      </c>
      <c r="B118" s="680" t="s">
        <v>957</v>
      </c>
      <c r="C118" s="682" t="s">
        <v>958</v>
      </c>
      <c r="D118" s="682" t="s">
        <v>959</v>
      </c>
      <c r="E118" s="355"/>
      <c r="F118" s="674" t="s">
        <v>960</v>
      </c>
      <c r="G118" s="668" t="s">
        <v>961</v>
      </c>
      <c r="H118" s="264"/>
      <c r="I118" s="678">
        <v>617703</v>
      </c>
      <c r="J118" s="264"/>
      <c r="K118" s="266"/>
      <c r="L118" s="369">
        <f>$L$7</f>
        <v>1.6580000000000001E-2</v>
      </c>
      <c r="M118" s="268">
        <f>$M$7</f>
        <v>2.5000000000000001E-3</v>
      </c>
      <c r="N118" s="269"/>
      <c r="O118" s="270"/>
      <c r="P118" s="271"/>
      <c r="Q118" s="272"/>
      <c r="R118" s="273"/>
      <c r="S118" s="306" t="s">
        <v>693</v>
      </c>
      <c r="T118" s="276">
        <v>617703</v>
      </c>
      <c r="U118" s="276"/>
      <c r="V118" s="316">
        <v>0</v>
      </c>
      <c r="W118" s="276">
        <v>20913</v>
      </c>
      <c r="X118" s="276">
        <v>20940</v>
      </c>
      <c r="Y118" s="276">
        <v>20940</v>
      </c>
      <c r="Z118" s="276">
        <v>20940</v>
      </c>
      <c r="AA118" s="276">
        <v>20940</v>
      </c>
      <c r="AB118" s="276">
        <v>20940</v>
      </c>
      <c r="AC118" s="276">
        <v>20940</v>
      </c>
      <c r="AD118" s="276">
        <v>20940</v>
      </c>
      <c r="AE118" s="276">
        <v>450210</v>
      </c>
      <c r="AF118" s="411">
        <f t="shared" si="2"/>
        <v>596790</v>
      </c>
      <c r="AG118" s="278"/>
      <c r="AH118" s="278"/>
    </row>
    <row r="119" spans="1:34" s="296" customFormat="1" ht="15.75" thickBot="1" x14ac:dyDescent="0.3">
      <c r="A119" s="412"/>
      <c r="B119" s="681"/>
      <c r="C119" s="683"/>
      <c r="D119" s="683"/>
      <c r="E119" s="284"/>
      <c r="F119" s="675"/>
      <c r="G119" s="676"/>
      <c r="H119" s="286"/>
      <c r="I119" s="679"/>
      <c r="J119" s="319"/>
      <c r="K119" s="320"/>
      <c r="L119" s="282"/>
      <c r="M119" s="282"/>
      <c r="N119" s="282"/>
      <c r="O119" s="289"/>
      <c r="P119" s="288"/>
      <c r="Q119" s="311"/>
      <c r="R119" s="312"/>
      <c r="S119" s="292" t="s">
        <v>695</v>
      </c>
      <c r="T119" s="376"/>
      <c r="U119" s="376"/>
      <c r="V119" s="294">
        <v>1000</v>
      </c>
      <c r="W119" s="294">
        <v>1544.2574999999999</v>
      </c>
      <c r="X119" s="294">
        <f>((SUM(X118:$AE118))*($L118+$M118))</f>
        <v>11386.753199999999</v>
      </c>
      <c r="Y119" s="294">
        <f>((SUM(Y118:$AE118))*($L118+$M118))</f>
        <v>10987.218000000001</v>
      </c>
      <c r="Z119" s="294">
        <f>((SUM(Z118:$AE118))*($L118+$M118))</f>
        <v>10587.6828</v>
      </c>
      <c r="AA119" s="294">
        <f>((SUM(AA118:$AE118))*($L118+$M118))</f>
        <v>10188.1476</v>
      </c>
      <c r="AB119" s="294">
        <f>((SUM(AB118:$AE118))*($L118+$M118))</f>
        <v>9788.6124</v>
      </c>
      <c r="AC119" s="294">
        <f>((SUM(AC118:$AE118))*($L118+$M118))</f>
        <v>9389.0771999999997</v>
      </c>
      <c r="AD119" s="294">
        <f>((SUM(AD118:$AE118))*($L118+$M118))</f>
        <v>8989.5419999999995</v>
      </c>
      <c r="AE119" s="294">
        <f>((SUM(AE118:$AE118))*($L118+$M118))*21</f>
        <v>180390.14279999997</v>
      </c>
      <c r="AF119" s="413">
        <f t="shared" si="2"/>
        <v>251707.17599999998</v>
      </c>
      <c r="AG119" s="278"/>
      <c r="AH119" s="278"/>
    </row>
    <row r="120" spans="1:34" s="296" customFormat="1" ht="13.15" customHeight="1" x14ac:dyDescent="0.2">
      <c r="A120" s="410">
        <v>47</v>
      </c>
      <c r="B120" s="680" t="s">
        <v>962</v>
      </c>
      <c r="C120" s="682" t="s">
        <v>963</v>
      </c>
      <c r="D120" s="682" t="s">
        <v>964</v>
      </c>
      <c r="E120" s="355"/>
      <c r="F120" s="674" t="s">
        <v>965</v>
      </c>
      <c r="G120" s="668" t="s">
        <v>966</v>
      </c>
      <c r="H120" s="264"/>
      <c r="I120" s="678">
        <v>145332</v>
      </c>
      <c r="J120" s="264"/>
      <c r="K120" s="266"/>
      <c r="L120" s="369">
        <f>$L$7</f>
        <v>1.6580000000000001E-2</v>
      </c>
      <c r="M120" s="268">
        <f>$M$7</f>
        <v>2.5000000000000001E-3</v>
      </c>
      <c r="N120" s="269"/>
      <c r="O120" s="270"/>
      <c r="P120" s="271"/>
      <c r="Q120" s="272"/>
      <c r="R120" s="273"/>
      <c r="S120" s="306" t="s">
        <v>693</v>
      </c>
      <c r="T120" s="276">
        <v>145332</v>
      </c>
      <c r="U120" s="276"/>
      <c r="V120" s="316">
        <v>0</v>
      </c>
      <c r="W120" s="276">
        <v>7396</v>
      </c>
      <c r="X120" s="276">
        <v>7456</v>
      </c>
      <c r="Y120" s="276">
        <v>7456</v>
      </c>
      <c r="Z120" s="276">
        <v>7456</v>
      </c>
      <c r="AA120" s="276">
        <v>7456</v>
      </c>
      <c r="AB120" s="276">
        <v>7456</v>
      </c>
      <c r="AC120" s="276">
        <v>7456</v>
      </c>
      <c r="AD120" s="276">
        <v>7456</v>
      </c>
      <c r="AE120" s="276">
        <v>85744</v>
      </c>
      <c r="AF120" s="411">
        <f t="shared" si="2"/>
        <v>137936</v>
      </c>
      <c r="AG120" s="278"/>
      <c r="AH120" s="278"/>
    </row>
    <row r="121" spans="1:34" s="296" customFormat="1" ht="15.75" thickBot="1" x14ac:dyDescent="0.3">
      <c r="A121" s="412"/>
      <c r="B121" s="681"/>
      <c r="C121" s="683"/>
      <c r="D121" s="683"/>
      <c r="E121" s="284"/>
      <c r="F121" s="675"/>
      <c r="G121" s="676"/>
      <c r="H121" s="286"/>
      <c r="I121" s="679"/>
      <c r="J121" s="319"/>
      <c r="K121" s="320"/>
      <c r="L121" s="282"/>
      <c r="M121" s="282"/>
      <c r="N121" s="282"/>
      <c r="O121" s="289"/>
      <c r="P121" s="288"/>
      <c r="Q121" s="311"/>
      <c r="R121" s="312"/>
      <c r="S121" s="292" t="s">
        <v>695</v>
      </c>
      <c r="T121" s="376"/>
      <c r="U121" s="376"/>
      <c r="V121" s="294">
        <v>200</v>
      </c>
      <c r="W121" s="294">
        <v>363.33</v>
      </c>
      <c r="X121" s="294">
        <f>((SUM(X120:$AE120))*($L120+$M120))</f>
        <v>2631.8188799999998</v>
      </c>
      <c r="Y121" s="294">
        <f>((SUM(Y120:$AE120))*($L120+$M120))</f>
        <v>2489.5583999999999</v>
      </c>
      <c r="Z121" s="294">
        <f>((SUM(Z120:$AE120))*($L120+$M120))</f>
        <v>2347.29792</v>
      </c>
      <c r="AA121" s="294">
        <f>((SUM(AA120:$AE120))*($L120+$M120))</f>
        <v>2205.0374400000001</v>
      </c>
      <c r="AB121" s="294">
        <f>((SUM(AB120:$AE120))*($L120+$M120))</f>
        <v>2062.7769600000001</v>
      </c>
      <c r="AC121" s="294">
        <f>((SUM(AC120:$AE120))*($L120+$M120))</f>
        <v>1920.51648</v>
      </c>
      <c r="AD121" s="294">
        <f>((SUM(AD120:$AE120))*($L120+$M120))</f>
        <v>1778.2560000000001</v>
      </c>
      <c r="AE121" s="294">
        <f>((SUM(AE120:$AE120))*($L120+$M120))*11</f>
        <v>17995.950720000001</v>
      </c>
      <c r="AF121" s="413">
        <f t="shared" si="2"/>
        <v>33431.212800000001</v>
      </c>
      <c r="AG121" s="278"/>
      <c r="AH121" s="278"/>
    </row>
    <row r="122" spans="1:34" s="296" customFormat="1" ht="13.9" customHeight="1" x14ac:dyDescent="0.2">
      <c r="A122" s="410">
        <v>48</v>
      </c>
      <c r="B122" s="680" t="s">
        <v>967</v>
      </c>
      <c r="C122" s="682" t="s">
        <v>968</v>
      </c>
      <c r="D122" s="682" t="s">
        <v>969</v>
      </c>
      <c r="E122" s="355"/>
      <c r="F122" s="674" t="s">
        <v>965</v>
      </c>
      <c r="G122" s="668" t="s">
        <v>966</v>
      </c>
      <c r="H122" s="264"/>
      <c r="I122" s="678">
        <v>132027</v>
      </c>
      <c r="J122" s="264"/>
      <c r="K122" s="266"/>
      <c r="L122" s="369">
        <f>$L$7</f>
        <v>1.6580000000000001E-2</v>
      </c>
      <c r="M122" s="268">
        <f>$M$7</f>
        <v>2.5000000000000001E-3</v>
      </c>
      <c r="N122" s="269"/>
      <c r="O122" s="270"/>
      <c r="P122" s="271"/>
      <c r="Q122" s="272"/>
      <c r="R122" s="273"/>
      <c r="S122" s="306" t="s">
        <v>693</v>
      </c>
      <c r="T122" s="276">
        <v>132027</v>
      </c>
      <c r="U122" s="276"/>
      <c r="V122" s="316">
        <v>0</v>
      </c>
      <c r="W122" s="276">
        <v>6745</v>
      </c>
      <c r="X122" s="276">
        <v>6772</v>
      </c>
      <c r="Y122" s="276">
        <v>6772</v>
      </c>
      <c r="Z122" s="276">
        <v>6772</v>
      </c>
      <c r="AA122" s="276">
        <v>6772</v>
      </c>
      <c r="AB122" s="276">
        <v>6772</v>
      </c>
      <c r="AC122" s="276">
        <v>6772</v>
      </c>
      <c r="AD122" s="276">
        <v>6772</v>
      </c>
      <c r="AE122" s="276">
        <v>77878</v>
      </c>
      <c r="AF122" s="411">
        <f t="shared" si="2"/>
        <v>125282</v>
      </c>
      <c r="AG122" s="278"/>
      <c r="AH122" s="278"/>
    </row>
    <row r="123" spans="1:34" s="296" customFormat="1" ht="15.75" thickBot="1" x14ac:dyDescent="0.3">
      <c r="A123" s="412"/>
      <c r="B123" s="681"/>
      <c r="C123" s="683"/>
      <c r="D123" s="683"/>
      <c r="E123" s="284"/>
      <c r="F123" s="675"/>
      <c r="G123" s="676"/>
      <c r="H123" s="286"/>
      <c r="I123" s="679"/>
      <c r="J123" s="319"/>
      <c r="K123" s="320"/>
      <c r="L123" s="282"/>
      <c r="M123" s="282"/>
      <c r="N123" s="282"/>
      <c r="O123" s="289"/>
      <c r="P123" s="288"/>
      <c r="Q123" s="311"/>
      <c r="R123" s="312"/>
      <c r="S123" s="292" t="s">
        <v>695</v>
      </c>
      <c r="T123" s="376"/>
      <c r="U123" s="376"/>
      <c r="V123" s="294">
        <v>200</v>
      </c>
      <c r="W123" s="294">
        <v>747.32264500000019</v>
      </c>
      <c r="X123" s="294">
        <f>((SUM(X122:$AE122))*($L122+$M122))</f>
        <v>2390.3805600000001</v>
      </c>
      <c r="Y123" s="294">
        <f>((SUM(Y122:$AE122))*($L122+$M122))</f>
        <v>2261.1707999999999</v>
      </c>
      <c r="Z123" s="294">
        <f>((SUM(Z122:$AE122))*($L122+$M122))</f>
        <v>2131.9610400000001</v>
      </c>
      <c r="AA123" s="294">
        <f>((SUM(AA122:$AE122))*($L122+$M122))</f>
        <v>2002.75128</v>
      </c>
      <c r="AB123" s="294">
        <f>((SUM(AB122:$AE122))*($L122+$M122))</f>
        <v>1873.54152</v>
      </c>
      <c r="AC123" s="294">
        <f>((SUM(AC122:$AE122))*($L122+$M122))</f>
        <v>1744.33176</v>
      </c>
      <c r="AD123" s="294">
        <f>((SUM(AD122:$AE122))*($L122+$M122))</f>
        <v>1615.1220000000001</v>
      </c>
      <c r="AE123" s="294">
        <f>((SUM(AE122:$AE122))*($L122+$M122))*11</f>
        <v>16345.034639999998</v>
      </c>
      <c r="AF123" s="413">
        <f t="shared" si="2"/>
        <v>30364.293599999997</v>
      </c>
      <c r="AG123" s="278"/>
      <c r="AH123" s="278"/>
    </row>
    <row r="124" spans="1:34" s="296" customFormat="1" ht="13.15" customHeight="1" x14ac:dyDescent="0.2">
      <c r="A124" s="410">
        <v>49</v>
      </c>
      <c r="B124" s="664" t="s">
        <v>970</v>
      </c>
      <c r="C124" s="666" t="s">
        <v>971</v>
      </c>
      <c r="D124" s="666" t="s">
        <v>972</v>
      </c>
      <c r="E124" s="355"/>
      <c r="F124" s="674" t="s">
        <v>973</v>
      </c>
      <c r="G124" s="668" t="s">
        <v>974</v>
      </c>
      <c r="H124" s="264"/>
      <c r="I124" s="678">
        <v>279650</v>
      </c>
      <c r="J124" s="264"/>
      <c r="K124" s="266"/>
      <c r="L124" s="369">
        <f>$L$7</f>
        <v>1.6580000000000001E-2</v>
      </c>
      <c r="M124" s="268">
        <f>$M$7</f>
        <v>2.5000000000000001E-3</v>
      </c>
      <c r="N124" s="269"/>
      <c r="O124" s="270"/>
      <c r="P124" s="271"/>
      <c r="Q124" s="272"/>
      <c r="R124" s="273"/>
      <c r="S124" s="306" t="s">
        <v>693</v>
      </c>
      <c r="T124" s="276">
        <v>279650</v>
      </c>
      <c r="U124" s="276"/>
      <c r="V124" s="316">
        <v>0</v>
      </c>
      <c r="W124" s="276">
        <v>9467</v>
      </c>
      <c r="X124" s="276">
        <v>9564</v>
      </c>
      <c r="Y124" s="276">
        <v>9564</v>
      </c>
      <c r="Z124" s="276">
        <v>9564</v>
      </c>
      <c r="AA124" s="276">
        <v>9564</v>
      </c>
      <c r="AB124" s="276">
        <v>9564</v>
      </c>
      <c r="AC124" s="276">
        <v>9564</v>
      </c>
      <c r="AD124" s="276">
        <v>9564</v>
      </c>
      <c r="AE124" s="276">
        <v>203235</v>
      </c>
      <c r="AF124" s="411">
        <f t="shared" si="2"/>
        <v>270183</v>
      </c>
      <c r="AG124" s="278"/>
      <c r="AH124" s="278"/>
    </row>
    <row r="125" spans="1:34" s="296" customFormat="1" ht="15.75" thickBot="1" x14ac:dyDescent="0.3">
      <c r="A125" s="412"/>
      <c r="B125" s="665"/>
      <c r="C125" s="667"/>
      <c r="D125" s="667"/>
      <c r="E125" s="284"/>
      <c r="F125" s="675"/>
      <c r="G125" s="676"/>
      <c r="H125" s="286"/>
      <c r="I125" s="679"/>
      <c r="J125" s="319"/>
      <c r="K125" s="320"/>
      <c r="L125" s="282"/>
      <c r="M125" s="282"/>
      <c r="N125" s="282"/>
      <c r="O125" s="289"/>
      <c r="P125" s="288"/>
      <c r="Q125" s="311"/>
      <c r="R125" s="312"/>
      <c r="S125" s="292" t="s">
        <v>695</v>
      </c>
      <c r="T125" s="376"/>
      <c r="U125" s="376"/>
      <c r="V125" s="294">
        <v>300</v>
      </c>
      <c r="W125" s="294">
        <v>707.5145</v>
      </c>
      <c r="X125" s="294">
        <f>((SUM(X124:$AE124))*($L124+$M124))</f>
        <v>5155.0916399999996</v>
      </c>
      <c r="Y125" s="294">
        <f>((SUM(Y124:$AE124))*($L124+$M124))</f>
        <v>4972.6105200000002</v>
      </c>
      <c r="Z125" s="294">
        <f>((SUM(Z124:$AE124))*($L124+$M124))</f>
        <v>4790.1293999999998</v>
      </c>
      <c r="AA125" s="294">
        <f>((SUM(AA124:$AE124))*($L124+$M124))</f>
        <v>4607.6482800000003</v>
      </c>
      <c r="AB125" s="294">
        <f>((SUM(AB124:$AE124))*($L124+$M124))</f>
        <v>4425.16716</v>
      </c>
      <c r="AC125" s="294">
        <f>((SUM(AC124:$AE124))*($L124+$M124))</f>
        <v>4242.6860399999996</v>
      </c>
      <c r="AD125" s="294">
        <f>((SUM(AD124:$AE124))*($L124+$M124))</f>
        <v>4060.2049200000001</v>
      </c>
      <c r="AE125" s="294">
        <f>((SUM(AE124:$AE124))*($L124+$M124))*21</f>
        <v>81432.199800000002</v>
      </c>
      <c r="AF125" s="413">
        <f t="shared" si="2"/>
        <v>113685.73776</v>
      </c>
      <c r="AG125" s="278"/>
      <c r="AH125" s="278"/>
    </row>
    <row r="126" spans="1:34" s="296" customFormat="1" ht="13.9" customHeight="1" x14ac:dyDescent="0.2">
      <c r="A126" s="410">
        <v>50</v>
      </c>
      <c r="B126" s="664" t="s">
        <v>975</v>
      </c>
      <c r="C126" s="672" t="s">
        <v>976</v>
      </c>
      <c r="D126" s="666" t="s">
        <v>977</v>
      </c>
      <c r="E126" s="355"/>
      <c r="F126" s="674" t="s">
        <v>978</v>
      </c>
      <c r="G126" s="668" t="s">
        <v>979</v>
      </c>
      <c r="H126" s="264"/>
      <c r="I126" s="678">
        <v>400000</v>
      </c>
      <c r="J126" s="264"/>
      <c r="K126" s="266"/>
      <c r="L126" s="369">
        <f>$L$7</f>
        <v>1.6580000000000001E-2</v>
      </c>
      <c r="M126" s="268">
        <f>$M$7</f>
        <v>2.5000000000000001E-3</v>
      </c>
      <c r="N126" s="269"/>
      <c r="O126" s="270"/>
      <c r="P126" s="271"/>
      <c r="Q126" s="272"/>
      <c r="R126" s="273"/>
      <c r="S126" s="306" t="s">
        <v>693</v>
      </c>
      <c r="T126" s="276">
        <v>400000</v>
      </c>
      <c r="U126" s="276"/>
      <c r="V126" s="316">
        <v>0</v>
      </c>
      <c r="W126" s="276">
        <v>13653</v>
      </c>
      <c r="X126" s="276">
        <v>13676</v>
      </c>
      <c r="Y126" s="375">
        <v>13676</v>
      </c>
      <c r="Z126" s="276">
        <v>13676</v>
      </c>
      <c r="AA126" s="276">
        <v>13676</v>
      </c>
      <c r="AB126" s="276">
        <v>13676</v>
      </c>
      <c r="AC126" s="276">
        <v>13676</v>
      </c>
      <c r="AD126" s="276">
        <v>13676</v>
      </c>
      <c r="AE126" s="276">
        <v>290615</v>
      </c>
      <c r="AF126" s="411">
        <f t="shared" si="2"/>
        <v>386347</v>
      </c>
      <c r="AG126" s="278"/>
      <c r="AH126" s="278"/>
    </row>
    <row r="127" spans="1:34" s="296" customFormat="1" ht="15.75" thickBot="1" x14ac:dyDescent="0.3">
      <c r="A127" s="412"/>
      <c r="B127" s="665"/>
      <c r="C127" s="673"/>
      <c r="D127" s="667"/>
      <c r="E127" s="284"/>
      <c r="F127" s="675"/>
      <c r="G127" s="676"/>
      <c r="H127" s="286"/>
      <c r="I127" s="679"/>
      <c r="J127" s="319"/>
      <c r="K127" s="320"/>
      <c r="L127" s="282"/>
      <c r="M127" s="282"/>
      <c r="N127" s="282"/>
      <c r="O127" s="289"/>
      <c r="P127" s="288"/>
      <c r="Q127" s="311"/>
      <c r="R127" s="312"/>
      <c r="S127" s="292" t="s">
        <v>695</v>
      </c>
      <c r="T127" s="376"/>
      <c r="U127" s="376"/>
      <c r="V127" s="294">
        <v>400</v>
      </c>
      <c r="W127" s="294">
        <v>1012</v>
      </c>
      <c r="X127" s="294">
        <f>((SUM(X126:$AE126))*($L126+$M126))</f>
        <v>7371.5007599999999</v>
      </c>
      <c r="Y127" s="294">
        <f>((SUM(Y126:$AE126))*($L126+$M126))</f>
        <v>7110.56268</v>
      </c>
      <c r="Z127" s="294">
        <f>((SUM(Z126:$AE126))*($L126+$M126))</f>
        <v>6849.6246000000001</v>
      </c>
      <c r="AA127" s="294">
        <f>((SUM(AA126:$AE126))*($L126+$M126))</f>
        <v>6588.6865200000002</v>
      </c>
      <c r="AB127" s="294">
        <f>((SUM(AB126:$AE126))*($L126+$M126))</f>
        <v>6327.7484400000003</v>
      </c>
      <c r="AC127" s="294">
        <f>((SUM(AC126:$AE126))*($L126+$M126))</f>
        <v>6066.8103599999995</v>
      </c>
      <c r="AD127" s="294">
        <f>((SUM(AD126:$AE126))*($L126+$M126))</f>
        <v>5805.8722799999996</v>
      </c>
      <c r="AE127" s="294">
        <f>((SUM(AE126:$AE126))*($L126+$M126))*21</f>
        <v>116443.6182</v>
      </c>
      <c r="AF127" s="413">
        <f t="shared" si="2"/>
        <v>162564.42384</v>
      </c>
      <c r="AG127" s="278"/>
      <c r="AH127" s="278"/>
    </row>
    <row r="128" spans="1:34" s="296" customFormat="1" ht="12.6" customHeight="1" x14ac:dyDescent="0.25">
      <c r="A128" s="410">
        <v>51</v>
      </c>
      <c r="B128" s="664" t="s">
        <v>980</v>
      </c>
      <c r="C128" s="677" t="s">
        <v>981</v>
      </c>
      <c r="D128" s="677" t="s">
        <v>982</v>
      </c>
      <c r="E128" s="355"/>
      <c r="F128" s="674" t="s">
        <v>983</v>
      </c>
      <c r="G128" s="668" t="s">
        <v>984</v>
      </c>
      <c r="H128" s="264"/>
      <c r="I128" s="670">
        <v>247902</v>
      </c>
      <c r="J128" s="414"/>
      <c r="K128" s="415" t="s">
        <v>693</v>
      </c>
      <c r="L128" s="369">
        <f>$L$7</f>
        <v>1.6580000000000001E-2</v>
      </c>
      <c r="M128" s="268">
        <f>$M$7</f>
        <v>2.5000000000000001E-3</v>
      </c>
      <c r="N128" s="269"/>
      <c r="O128" s="270"/>
      <c r="P128" s="271"/>
      <c r="Q128" s="272"/>
      <c r="R128" s="273"/>
      <c r="S128" s="306" t="s">
        <v>693</v>
      </c>
      <c r="T128" s="276"/>
      <c r="U128" s="276"/>
      <c r="V128" s="316"/>
      <c r="W128" s="316">
        <v>0</v>
      </c>
      <c r="X128" s="276">
        <v>61974</v>
      </c>
      <c r="Y128" s="276">
        <v>61976</v>
      </c>
      <c r="Z128" s="276">
        <v>61976</v>
      </c>
      <c r="AA128" s="276">
        <v>61976</v>
      </c>
      <c r="AB128" s="316">
        <v>0</v>
      </c>
      <c r="AC128" s="316">
        <v>0</v>
      </c>
      <c r="AD128" s="316">
        <v>0</v>
      </c>
      <c r="AE128" s="316">
        <v>0</v>
      </c>
      <c r="AF128" s="411">
        <f t="shared" si="2"/>
        <v>247902</v>
      </c>
      <c r="AG128" s="278"/>
      <c r="AH128" s="278"/>
    </row>
    <row r="129" spans="1:34" s="296" customFormat="1" ht="15.75" thickBot="1" x14ac:dyDescent="0.3">
      <c r="A129" s="412"/>
      <c r="B129" s="665"/>
      <c r="C129" s="667"/>
      <c r="D129" s="667"/>
      <c r="E129" s="284"/>
      <c r="F129" s="675"/>
      <c r="G129" s="669"/>
      <c r="H129" s="286"/>
      <c r="I129" s="671"/>
      <c r="J129" s="416"/>
      <c r="K129" s="417" t="s">
        <v>695</v>
      </c>
      <c r="L129" s="282"/>
      <c r="M129" s="282"/>
      <c r="N129" s="282"/>
      <c r="O129" s="289"/>
      <c r="P129" s="288"/>
      <c r="Q129" s="311"/>
      <c r="R129" s="312"/>
      <c r="S129" s="292" t="s">
        <v>695</v>
      </c>
      <c r="T129" s="376"/>
      <c r="U129" s="376"/>
      <c r="V129" s="376"/>
      <c r="W129" s="294">
        <f>SUM(W$128:$AA128)*0.25%</f>
        <v>619.755</v>
      </c>
      <c r="X129" s="294">
        <f>((SUM(X128:$AE128))*($L128+$M128))</f>
        <v>4729.9701599999999</v>
      </c>
      <c r="Y129" s="294">
        <f>((SUM(Y128:$AE128))*($L128+$M128))</f>
        <v>3547.5062400000002</v>
      </c>
      <c r="Z129" s="294">
        <f>((SUM(Z128:$AE128))*($L128+$M128))</f>
        <v>2365.00416</v>
      </c>
      <c r="AA129" s="294">
        <f>((SUM(AA128:$AE128))*($L128+$M128))</f>
        <v>1182.50208</v>
      </c>
      <c r="AB129" s="321">
        <f>((SUM(AB128:$AE128))*($L128+$M128))</f>
        <v>0</v>
      </c>
      <c r="AC129" s="321">
        <f>((SUM(AC128:$AE128))*($L128+$M128))</f>
        <v>0</v>
      </c>
      <c r="AD129" s="321">
        <f>((SUM(AD128:$AE128))*($L128+$M128))</f>
        <v>0</v>
      </c>
      <c r="AE129" s="321">
        <f>((SUM(AE128:$AE128))*($L128+$M128))</f>
        <v>0</v>
      </c>
      <c r="AF129" s="413">
        <f t="shared" si="2"/>
        <v>11824.98264</v>
      </c>
      <c r="AG129" s="278"/>
      <c r="AH129" s="278"/>
    </row>
    <row r="130" spans="1:34" s="296" customFormat="1" ht="12.6" customHeight="1" x14ac:dyDescent="0.25">
      <c r="A130" s="410">
        <v>52</v>
      </c>
      <c r="B130" s="664" t="s">
        <v>985</v>
      </c>
      <c r="C130" s="666" t="s">
        <v>986</v>
      </c>
      <c r="D130" s="666" t="s">
        <v>987</v>
      </c>
      <c r="E130" s="355"/>
      <c r="F130" s="674" t="s">
        <v>988</v>
      </c>
      <c r="G130" s="668" t="s">
        <v>989</v>
      </c>
      <c r="H130" s="264"/>
      <c r="I130" s="670">
        <v>54624</v>
      </c>
      <c r="J130" s="414"/>
      <c r="K130" s="415" t="s">
        <v>693</v>
      </c>
      <c r="L130" s="369">
        <f>$L$7</f>
        <v>1.6580000000000001E-2</v>
      </c>
      <c r="M130" s="268">
        <f>$M$7</f>
        <v>2.5000000000000001E-3</v>
      </c>
      <c r="N130" s="269"/>
      <c r="O130" s="270"/>
      <c r="P130" s="271"/>
      <c r="Q130" s="272"/>
      <c r="R130" s="273"/>
      <c r="S130" s="306" t="s">
        <v>693</v>
      </c>
      <c r="T130" s="276"/>
      <c r="U130" s="276"/>
      <c r="V130" s="316"/>
      <c r="W130" s="316">
        <v>3760</v>
      </c>
      <c r="X130" s="276">
        <v>8064</v>
      </c>
      <c r="Y130" s="276">
        <v>8064</v>
      </c>
      <c r="Z130" s="276">
        <v>8064</v>
      </c>
      <c r="AA130" s="276">
        <v>8064</v>
      </c>
      <c r="AB130" s="276">
        <v>8064</v>
      </c>
      <c r="AC130" s="276">
        <v>8064</v>
      </c>
      <c r="AD130" s="276">
        <v>2480</v>
      </c>
      <c r="AE130" s="316">
        <v>0</v>
      </c>
      <c r="AF130" s="411">
        <f t="shared" si="2"/>
        <v>50864</v>
      </c>
      <c r="AG130" s="278"/>
      <c r="AH130" s="278"/>
    </row>
    <row r="131" spans="1:34" s="296" customFormat="1" ht="15.75" thickBot="1" x14ac:dyDescent="0.3">
      <c r="A131" s="412"/>
      <c r="B131" s="665"/>
      <c r="C131" s="667"/>
      <c r="D131" s="667"/>
      <c r="E131" s="284"/>
      <c r="F131" s="675"/>
      <c r="G131" s="676"/>
      <c r="H131" s="286"/>
      <c r="I131" s="671"/>
      <c r="J131" s="416"/>
      <c r="K131" s="417" t="s">
        <v>695</v>
      </c>
      <c r="L131" s="282"/>
      <c r="M131" s="282"/>
      <c r="N131" s="282"/>
      <c r="O131" s="289"/>
      <c r="P131" s="288"/>
      <c r="Q131" s="311"/>
      <c r="R131" s="312"/>
      <c r="S131" s="292" t="s">
        <v>695</v>
      </c>
      <c r="T131" s="376"/>
      <c r="U131" s="376"/>
      <c r="V131" s="376"/>
      <c r="W131" s="294">
        <v>417.68</v>
      </c>
      <c r="X131" s="294">
        <f>((SUM(X130:$AE130))*($L130+$M130))</f>
        <v>970.48511999999994</v>
      </c>
      <c r="Y131" s="294">
        <f>((SUM(Y130:$AE130))*($L130+$M130))</f>
        <v>816.62400000000002</v>
      </c>
      <c r="Z131" s="294">
        <f>((SUM(Z130:$AE130))*($L130+$M130))</f>
        <v>662.76288</v>
      </c>
      <c r="AA131" s="294">
        <f>((SUM(AA130:$AE130))*($L130+$M130))</f>
        <v>508.90175999999997</v>
      </c>
      <c r="AB131" s="294">
        <f>((SUM(AB130:$AE130))*($L130+$M130))</f>
        <v>355.04064</v>
      </c>
      <c r="AC131" s="294">
        <f>((SUM(AC130:$AE130))*($L130+$M130))</f>
        <v>201.17952</v>
      </c>
      <c r="AD131" s="294">
        <f>((SUM(AD130:$AE130))*($L130+$M130))</f>
        <v>47.318399999999997</v>
      </c>
      <c r="AE131" s="321">
        <f>((SUM(AE130:$AE130))*($L130+$M130))</f>
        <v>0</v>
      </c>
      <c r="AF131" s="413">
        <f t="shared" si="2"/>
        <v>3562.3123200000005</v>
      </c>
      <c r="AG131" s="278"/>
      <c r="AH131" s="278"/>
    </row>
    <row r="132" spans="1:34" s="296" customFormat="1" ht="12.6" customHeight="1" x14ac:dyDescent="0.25">
      <c r="A132" s="410">
        <v>53</v>
      </c>
      <c r="B132" s="664" t="s">
        <v>990</v>
      </c>
      <c r="C132" s="666" t="s">
        <v>991</v>
      </c>
      <c r="D132" s="666" t="s">
        <v>992</v>
      </c>
      <c r="E132" s="355">
        <v>44594</v>
      </c>
      <c r="F132" s="674">
        <v>44594</v>
      </c>
      <c r="G132" s="668" t="s">
        <v>993</v>
      </c>
      <c r="H132" s="264"/>
      <c r="I132" s="670">
        <v>178121</v>
      </c>
      <c r="J132" s="414"/>
      <c r="K132" s="415" t="s">
        <v>693</v>
      </c>
      <c r="L132" s="369">
        <f>$L$7</f>
        <v>1.6580000000000001E-2</v>
      </c>
      <c r="M132" s="268">
        <f>$M$7</f>
        <v>2.5000000000000001E-3</v>
      </c>
      <c r="N132" s="269"/>
      <c r="O132" s="270"/>
      <c r="P132" s="271"/>
      <c r="Q132" s="272"/>
      <c r="R132" s="273"/>
      <c r="S132" s="306" t="s">
        <v>693</v>
      </c>
      <c r="T132" s="276"/>
      <c r="U132" s="276"/>
      <c r="V132" s="316"/>
      <c r="W132" s="316">
        <v>0</v>
      </c>
      <c r="X132" s="276">
        <f>12496+72342</f>
        <v>84838</v>
      </c>
      <c r="Y132" s="276">
        <v>12500</v>
      </c>
      <c r="Z132" s="276">
        <v>12500</v>
      </c>
      <c r="AA132" s="276">
        <v>12500</v>
      </c>
      <c r="AB132" s="276">
        <v>12500</v>
      </c>
      <c r="AC132" s="276">
        <v>12500</v>
      </c>
      <c r="AD132" s="276">
        <v>12500</v>
      </c>
      <c r="AE132" s="316">
        <f>90625-72342</f>
        <v>18283</v>
      </c>
      <c r="AF132" s="411">
        <f t="shared" si="2"/>
        <v>178121</v>
      </c>
      <c r="AG132" s="278"/>
      <c r="AH132" s="278"/>
    </row>
    <row r="133" spans="1:34" s="296" customFormat="1" ht="15.75" thickBot="1" x14ac:dyDescent="0.3">
      <c r="A133" s="412"/>
      <c r="B133" s="665"/>
      <c r="C133" s="667"/>
      <c r="D133" s="667"/>
      <c r="E133" s="284"/>
      <c r="F133" s="675"/>
      <c r="G133" s="676"/>
      <c r="H133" s="286"/>
      <c r="I133" s="671"/>
      <c r="J133" s="416"/>
      <c r="K133" s="417" t="s">
        <v>695</v>
      </c>
      <c r="L133" s="282"/>
      <c r="M133" s="282"/>
      <c r="N133" s="282"/>
      <c r="O133" s="289"/>
      <c r="P133" s="288"/>
      <c r="Q133" s="311"/>
      <c r="R133" s="312"/>
      <c r="S133" s="292" t="s">
        <v>695</v>
      </c>
      <c r="T133" s="376"/>
      <c r="U133" s="376"/>
      <c r="V133" s="376"/>
      <c r="W133" s="294">
        <v>471.30250000000001</v>
      </c>
      <c r="X133" s="294">
        <f>((SUM(X132:$AE132))*($L132+$M132))</f>
        <v>3398.5486799999999</v>
      </c>
      <c r="Y133" s="294">
        <f>((SUM(Y132:$AE132))*($L132+$M132))</f>
        <v>1779.8396399999999</v>
      </c>
      <c r="Z133" s="294">
        <f>((SUM(Z132:$AE132))*($L132+$M132))</f>
        <v>1541.3396399999999</v>
      </c>
      <c r="AA133" s="294">
        <f>((SUM(AA132:$AE132))*($L132+$M132))</f>
        <v>1302.8396399999999</v>
      </c>
      <c r="AB133" s="294">
        <f>((SUM(AB132:$AE132))*($L132+$M132))</f>
        <v>1064.3396399999999</v>
      </c>
      <c r="AC133" s="294">
        <f>((SUM(AC132:$AE132))*($L132+$M132))</f>
        <v>825.83964000000003</v>
      </c>
      <c r="AD133" s="294">
        <f>((SUM(AD132:$AE132))*($L132+$M132))</f>
        <v>587.33964000000003</v>
      </c>
      <c r="AE133" s="294">
        <f>((SUM(AE132:$AE132))*($L132+$M132))*7</f>
        <v>2441.8774799999997</v>
      </c>
      <c r="AF133" s="413">
        <f t="shared" si="2"/>
        <v>12941.964</v>
      </c>
      <c r="AG133" s="278"/>
      <c r="AH133" s="278"/>
    </row>
    <row r="134" spans="1:34" s="296" customFormat="1" ht="12.6" customHeight="1" x14ac:dyDescent="0.25">
      <c r="A134" s="410">
        <v>54</v>
      </c>
      <c r="B134" s="664" t="s">
        <v>990</v>
      </c>
      <c r="C134" s="666" t="s">
        <v>994</v>
      </c>
      <c r="D134" s="666" t="s">
        <v>995</v>
      </c>
      <c r="E134" s="355">
        <v>44594</v>
      </c>
      <c r="F134" s="674">
        <v>44781</v>
      </c>
      <c r="G134" s="668" t="s">
        <v>996</v>
      </c>
      <c r="H134" s="264"/>
      <c r="I134" s="670">
        <v>39831</v>
      </c>
      <c r="J134" s="414"/>
      <c r="K134" s="415" t="s">
        <v>693</v>
      </c>
      <c r="L134" s="369">
        <f>$L$7</f>
        <v>1.6580000000000001E-2</v>
      </c>
      <c r="M134" s="268">
        <f>$M$7</f>
        <v>2.5000000000000001E-3</v>
      </c>
      <c r="N134" s="269"/>
      <c r="O134" s="270"/>
      <c r="P134" s="271"/>
      <c r="Q134" s="272"/>
      <c r="R134" s="273"/>
      <c r="S134" s="306" t="s">
        <v>693</v>
      </c>
      <c r="T134" s="276"/>
      <c r="U134" s="276"/>
      <c r="V134" s="316"/>
      <c r="W134" s="316">
        <v>0</v>
      </c>
      <c r="X134" s="276">
        <v>39831</v>
      </c>
      <c r="Y134" s="276"/>
      <c r="Z134" s="276"/>
      <c r="AA134" s="276"/>
      <c r="AB134" s="276"/>
      <c r="AC134" s="276"/>
      <c r="AD134" s="276"/>
      <c r="AE134" s="316"/>
      <c r="AF134" s="411">
        <f t="shared" si="2"/>
        <v>39831</v>
      </c>
      <c r="AG134" s="278"/>
      <c r="AH134" s="278"/>
    </row>
    <row r="135" spans="1:34" s="296" customFormat="1" ht="15.75" thickBot="1" x14ac:dyDescent="0.3">
      <c r="A135" s="412"/>
      <c r="B135" s="665"/>
      <c r="C135" s="667"/>
      <c r="D135" s="667"/>
      <c r="E135" s="284"/>
      <c r="F135" s="675"/>
      <c r="G135" s="676"/>
      <c r="H135" s="286"/>
      <c r="I135" s="671"/>
      <c r="J135" s="416"/>
      <c r="K135" s="417" t="s">
        <v>695</v>
      </c>
      <c r="L135" s="282"/>
      <c r="M135" s="282"/>
      <c r="N135" s="282"/>
      <c r="O135" s="289"/>
      <c r="P135" s="288"/>
      <c r="Q135" s="311"/>
      <c r="R135" s="312"/>
      <c r="S135" s="292" t="s">
        <v>695</v>
      </c>
      <c r="T135" s="376"/>
      <c r="U135" s="376"/>
      <c r="V135" s="376"/>
      <c r="W135" s="294">
        <v>532.79</v>
      </c>
      <c r="X135" s="294">
        <f>((SUM(X134:$AE134))*($L134+$M134))</f>
        <v>759.97547999999995</v>
      </c>
      <c r="Y135" s="294">
        <f>((SUM(Y134:$AE134))*($L134+$M134))</f>
        <v>0</v>
      </c>
      <c r="Z135" s="294">
        <f>((SUM(Z134:$AE134))*($L134+$M134))</f>
        <v>0</v>
      </c>
      <c r="AA135" s="294">
        <f>((SUM(AA134:$AE134))*($L134+$M134))</f>
        <v>0</v>
      </c>
      <c r="AB135" s="294">
        <f>((SUM(AB134:$AE134))*($L134+$M134))</f>
        <v>0</v>
      </c>
      <c r="AC135" s="294">
        <f>((SUM(AC134:$AE134))*($L134+$M134))</f>
        <v>0</v>
      </c>
      <c r="AD135" s="294">
        <f>((SUM(AD134:$AE134))*($L134+$M134))</f>
        <v>0</v>
      </c>
      <c r="AE135" s="294">
        <f>((SUM(AE134:$AE134))*($L134+$M134))*7</f>
        <v>0</v>
      </c>
      <c r="AF135" s="413">
        <f t="shared" si="2"/>
        <v>759.97547999999995</v>
      </c>
      <c r="AG135" s="278"/>
      <c r="AH135" s="278"/>
    </row>
    <row r="136" spans="1:34" s="296" customFormat="1" ht="12.6" customHeight="1" x14ac:dyDescent="0.25">
      <c r="A136" s="410">
        <v>55</v>
      </c>
      <c r="B136" s="664" t="s">
        <v>997</v>
      </c>
      <c r="C136" s="672" t="s">
        <v>998</v>
      </c>
      <c r="D136" s="666" t="s">
        <v>999</v>
      </c>
      <c r="E136" s="355">
        <v>44594</v>
      </c>
      <c r="F136" s="674">
        <v>44894</v>
      </c>
      <c r="G136" s="668" t="s">
        <v>1000</v>
      </c>
      <c r="H136" s="264"/>
      <c r="I136" s="670">
        <v>503660</v>
      </c>
      <c r="J136" s="414"/>
      <c r="K136" s="415" t="s">
        <v>693</v>
      </c>
      <c r="L136" s="369">
        <f>$L$7</f>
        <v>1.6580000000000001E-2</v>
      </c>
      <c r="M136" s="268">
        <f>$M$7</f>
        <v>2.5000000000000001E-3</v>
      </c>
      <c r="N136" s="269"/>
      <c r="O136" s="270"/>
      <c r="P136" s="271"/>
      <c r="Q136" s="272"/>
      <c r="R136" s="273"/>
      <c r="S136" s="306" t="s">
        <v>693</v>
      </c>
      <c r="T136" s="276"/>
      <c r="U136" s="276"/>
      <c r="V136" s="316">
        <v>0</v>
      </c>
      <c r="W136" s="316">
        <v>0</v>
      </c>
      <c r="X136" s="276">
        <v>8788</v>
      </c>
      <c r="Y136" s="375">
        <v>35348</v>
      </c>
      <c r="Z136" s="276">
        <v>35348</v>
      </c>
      <c r="AA136" s="276">
        <v>35348</v>
      </c>
      <c r="AB136" s="276">
        <v>35348</v>
      </c>
      <c r="AC136" s="276">
        <v>35348</v>
      </c>
      <c r="AD136" s="276">
        <v>35348</v>
      </c>
      <c r="AE136" s="316">
        <v>282784</v>
      </c>
      <c r="AF136" s="411">
        <f t="shared" si="2"/>
        <v>503660</v>
      </c>
      <c r="AG136" s="278"/>
      <c r="AH136" s="278"/>
    </row>
    <row r="137" spans="1:34" s="296" customFormat="1" ht="15.75" thickBot="1" x14ac:dyDescent="0.3">
      <c r="A137" s="412"/>
      <c r="B137" s="665"/>
      <c r="C137" s="673"/>
      <c r="D137" s="667"/>
      <c r="E137" s="284"/>
      <c r="F137" s="675"/>
      <c r="G137" s="676"/>
      <c r="H137" s="286"/>
      <c r="I137" s="671"/>
      <c r="J137" s="416"/>
      <c r="K137" s="417" t="s">
        <v>695</v>
      </c>
      <c r="L137" s="282"/>
      <c r="M137" s="282"/>
      <c r="N137" s="282"/>
      <c r="O137" s="289"/>
      <c r="P137" s="288"/>
      <c r="Q137" s="311"/>
      <c r="R137" s="312"/>
      <c r="S137" s="292" t="s">
        <v>695</v>
      </c>
      <c r="T137" s="376"/>
      <c r="U137" s="376"/>
      <c r="V137" s="376"/>
      <c r="W137" s="294"/>
      <c r="X137" s="294">
        <f>((SUM(X136:$AE136))*($L136+$M136))</f>
        <v>9609.8328000000001</v>
      </c>
      <c r="Y137" s="294">
        <f>((SUM(Y136:$AE136))*($L136+$M136))</f>
        <v>9442.1577600000001</v>
      </c>
      <c r="Z137" s="294">
        <f>((SUM(Z136:$AE136))*($L136+$M136))</f>
        <v>8767.7179199999991</v>
      </c>
      <c r="AA137" s="294">
        <f>((SUM(AA136:$AE136))*($L136+$M136))</f>
        <v>8093.27808</v>
      </c>
      <c r="AB137" s="294">
        <f>((SUM(AB136:$AE136))*($L136+$M136))</f>
        <v>7418.83824</v>
      </c>
      <c r="AC137" s="294">
        <f>((SUM(AC136:$AE136))*($L136+$M136))</f>
        <v>6744.3984</v>
      </c>
      <c r="AD137" s="294">
        <f>((SUM(AD136:$AE136))*($L136+$M136))</f>
        <v>6069.95856</v>
      </c>
      <c r="AE137" s="294">
        <f>((SUM(AE136:$AE136))*($L136+$M136))*7</f>
        <v>37768.63104</v>
      </c>
      <c r="AF137" s="413">
        <f t="shared" si="2"/>
        <v>93914.812799999985</v>
      </c>
      <c r="AG137" s="278"/>
      <c r="AH137" s="278"/>
    </row>
    <row r="138" spans="1:34" s="296" customFormat="1" ht="12.6" customHeight="1" x14ac:dyDescent="0.25">
      <c r="A138" s="410">
        <v>56</v>
      </c>
      <c r="B138" s="664" t="s">
        <v>1001</v>
      </c>
      <c r="C138" s="672" t="s">
        <v>1002</v>
      </c>
      <c r="D138" s="666" t="s">
        <v>1003</v>
      </c>
      <c r="E138" s="355">
        <v>44594</v>
      </c>
      <c r="F138" s="674">
        <v>44894</v>
      </c>
      <c r="G138" s="668" t="s">
        <v>1004</v>
      </c>
      <c r="H138" s="264"/>
      <c r="I138" s="670">
        <v>300000</v>
      </c>
      <c r="J138" s="414"/>
      <c r="K138" s="415" t="s">
        <v>693</v>
      </c>
      <c r="L138" s="369">
        <f>$L$7</f>
        <v>1.6580000000000001E-2</v>
      </c>
      <c r="M138" s="268">
        <f>$M$7</f>
        <v>2.5000000000000001E-3</v>
      </c>
      <c r="N138" s="269"/>
      <c r="O138" s="270"/>
      <c r="P138" s="271"/>
      <c r="Q138" s="272"/>
      <c r="R138" s="273"/>
      <c r="S138" s="306" t="s">
        <v>693</v>
      </c>
      <c r="T138" s="276"/>
      <c r="U138" s="276"/>
      <c r="V138" s="316">
        <v>0</v>
      </c>
      <c r="W138" s="316">
        <v>0</v>
      </c>
      <c r="X138" s="276">
        <f>8076+3648</f>
        <v>11724</v>
      </c>
      <c r="Y138" s="375">
        <v>32436</v>
      </c>
      <c r="Z138" s="276">
        <v>32436</v>
      </c>
      <c r="AA138" s="276">
        <v>32436</v>
      </c>
      <c r="AB138" s="276">
        <v>32436</v>
      </c>
      <c r="AC138" s="276">
        <v>32436</v>
      </c>
      <c r="AD138" s="276">
        <v>32436</v>
      </c>
      <c r="AE138" s="316">
        <v>97308</v>
      </c>
      <c r="AF138" s="411">
        <f t="shared" si="2"/>
        <v>303648</v>
      </c>
      <c r="AG138" s="278"/>
      <c r="AH138" s="278"/>
    </row>
    <row r="139" spans="1:34" s="296" customFormat="1" ht="15.75" thickBot="1" x14ac:dyDescent="0.3">
      <c r="A139" s="412"/>
      <c r="B139" s="665"/>
      <c r="C139" s="673"/>
      <c r="D139" s="667"/>
      <c r="E139" s="284"/>
      <c r="F139" s="675"/>
      <c r="G139" s="676"/>
      <c r="H139" s="286"/>
      <c r="I139" s="671"/>
      <c r="J139" s="416"/>
      <c r="K139" s="417" t="s">
        <v>695</v>
      </c>
      <c r="L139" s="282"/>
      <c r="M139" s="282"/>
      <c r="N139" s="282"/>
      <c r="O139" s="289"/>
      <c r="P139" s="288"/>
      <c r="Q139" s="311"/>
      <c r="R139" s="312"/>
      <c r="S139" s="292" t="s">
        <v>695</v>
      </c>
      <c r="T139" s="376"/>
      <c r="U139" s="376"/>
      <c r="V139" s="376"/>
      <c r="W139" s="294"/>
      <c r="X139" s="294">
        <f>((SUM(X138:$AE138))*($L138+$M138))</f>
        <v>5793.6038399999998</v>
      </c>
      <c r="Y139" s="294">
        <f>((SUM(Y138:$AE138))*($L138+$M138))</f>
        <v>5569.9099200000001</v>
      </c>
      <c r="Z139" s="294">
        <f>((SUM(Z138:$AE138))*($L138+$M138))</f>
        <v>4951.0310399999998</v>
      </c>
      <c r="AA139" s="294">
        <f>((SUM(AA138:$AE138))*($L138+$M138))</f>
        <v>4332.1521599999996</v>
      </c>
      <c r="AB139" s="294">
        <f>((SUM(AB138:$AE138))*($L138+$M138))</f>
        <v>3713.2732799999999</v>
      </c>
      <c r="AC139" s="294">
        <f>((SUM(AC138:$AE138))*($L138+$M138))</f>
        <v>3094.3944000000001</v>
      </c>
      <c r="AD139" s="294">
        <f>((SUM(AD138:$AE138))*($L138+$M138))</f>
        <v>2475.5155199999999</v>
      </c>
      <c r="AE139" s="294">
        <f>((SUM(AE138:$AE138))*($L138+$M138))*2</f>
        <v>3713.2732799999999</v>
      </c>
      <c r="AF139" s="413">
        <f t="shared" si="2"/>
        <v>33643.153440000002</v>
      </c>
      <c r="AG139" s="278"/>
      <c r="AH139" s="278"/>
    </row>
    <row r="140" spans="1:34" s="296" customFormat="1" ht="12.6" customHeight="1" x14ac:dyDescent="0.25">
      <c r="A140" s="410">
        <v>57</v>
      </c>
      <c r="B140" s="664" t="s">
        <v>228</v>
      </c>
      <c r="C140" s="666" t="s">
        <v>1005</v>
      </c>
      <c r="D140" s="666"/>
      <c r="E140" s="355">
        <v>44594</v>
      </c>
      <c r="F140" s="668">
        <v>2023</v>
      </c>
      <c r="G140" s="668">
        <v>2028</v>
      </c>
      <c r="H140" s="264"/>
      <c r="I140" s="670">
        <v>59922</v>
      </c>
      <c r="J140" s="414"/>
      <c r="K140" s="415" t="s">
        <v>693</v>
      </c>
      <c r="L140" s="369">
        <f>$L$7</f>
        <v>1.6580000000000001E-2</v>
      </c>
      <c r="M140" s="268">
        <f>$M$7</f>
        <v>2.5000000000000001E-3</v>
      </c>
      <c r="N140" s="269"/>
      <c r="O140" s="270"/>
      <c r="P140" s="271"/>
      <c r="Q140" s="272"/>
      <c r="R140" s="273"/>
      <c r="S140" s="306" t="s">
        <v>693</v>
      </c>
      <c r="T140" s="276"/>
      <c r="U140" s="276"/>
      <c r="V140" s="316">
        <v>0</v>
      </c>
      <c r="W140" s="316">
        <v>0</v>
      </c>
      <c r="X140" s="276"/>
      <c r="Y140" s="276">
        <f>59922/5</f>
        <v>11984.4</v>
      </c>
      <c r="Z140" s="276">
        <f>59922/5</f>
        <v>11984.4</v>
      </c>
      <c r="AA140" s="276">
        <f>59922/5</f>
        <v>11984.4</v>
      </c>
      <c r="AB140" s="276">
        <f>59922/5</f>
        <v>11984.4</v>
      </c>
      <c r="AC140" s="276">
        <f>59922/5</f>
        <v>11984.4</v>
      </c>
      <c r="AD140" s="276"/>
      <c r="AE140" s="316"/>
      <c r="AF140" s="411">
        <f t="shared" ref="AF140:AF161" si="3">SUM(X140:AE140)</f>
        <v>59922</v>
      </c>
      <c r="AG140" s="278"/>
      <c r="AH140" s="278"/>
    </row>
    <row r="141" spans="1:34" s="296" customFormat="1" ht="15.75" thickBot="1" x14ac:dyDescent="0.3">
      <c r="A141" s="412"/>
      <c r="B141" s="665"/>
      <c r="C141" s="667"/>
      <c r="D141" s="667"/>
      <c r="E141" s="284"/>
      <c r="F141" s="669"/>
      <c r="G141" s="669"/>
      <c r="H141" s="286"/>
      <c r="I141" s="671"/>
      <c r="J141" s="416"/>
      <c r="K141" s="417" t="s">
        <v>695</v>
      </c>
      <c r="L141" s="282"/>
      <c r="M141" s="282"/>
      <c r="N141" s="282"/>
      <c r="O141" s="289"/>
      <c r="P141" s="288"/>
      <c r="Q141" s="311"/>
      <c r="R141" s="312"/>
      <c r="S141" s="292" t="s">
        <v>695</v>
      </c>
      <c r="T141" s="376"/>
      <c r="U141" s="376"/>
      <c r="V141" s="376"/>
      <c r="W141" s="294"/>
      <c r="X141" s="294"/>
      <c r="Y141" s="294">
        <f>((SUM(Y140:$AE140))*($L140+$M140))</f>
        <v>1143.31176</v>
      </c>
      <c r="Z141" s="294">
        <f>((SUM(Z140:$AE140))*($L140+$M140))</f>
        <v>914.64940799999999</v>
      </c>
      <c r="AA141" s="294">
        <f>((SUM(AA140:$AE140))*($L140+$M140))</f>
        <v>685.98705599999994</v>
      </c>
      <c r="AB141" s="294">
        <f>((SUM(AB140:$AE140))*($L140+$M140))</f>
        <v>457.324704</v>
      </c>
      <c r="AC141" s="294">
        <f>((SUM(AC140:$AE140))*($L140+$M140))</f>
        <v>228.662352</v>
      </c>
      <c r="AD141" s="294">
        <f>((SUM(AD140:$AE140))*($L140+$M140))</f>
        <v>0</v>
      </c>
      <c r="AE141" s="294">
        <f>((SUM(AE140:$AE140))*($L140+$M140))*2</f>
        <v>0</v>
      </c>
      <c r="AF141" s="413">
        <f t="shared" si="3"/>
        <v>3429.9352799999997</v>
      </c>
      <c r="AG141" s="278"/>
      <c r="AH141" s="278"/>
    </row>
    <row r="142" spans="1:34" s="296" customFormat="1" ht="12.6" customHeight="1" x14ac:dyDescent="0.25">
      <c r="A142" s="410">
        <v>58</v>
      </c>
      <c r="B142" s="664" t="s">
        <v>230</v>
      </c>
      <c r="C142" s="666" t="s">
        <v>1005</v>
      </c>
      <c r="D142" s="666"/>
      <c r="E142" s="355">
        <v>44594</v>
      </c>
      <c r="F142" s="668">
        <v>2023</v>
      </c>
      <c r="G142" s="668">
        <v>2033</v>
      </c>
      <c r="H142" s="264"/>
      <c r="I142" s="670">
        <v>207089</v>
      </c>
      <c r="J142" s="414"/>
      <c r="K142" s="415" t="s">
        <v>693</v>
      </c>
      <c r="L142" s="369">
        <f>$L$7</f>
        <v>1.6580000000000001E-2</v>
      </c>
      <c r="M142" s="268">
        <f>$M$7</f>
        <v>2.5000000000000001E-3</v>
      </c>
      <c r="N142" s="269"/>
      <c r="O142" s="270"/>
      <c r="P142" s="271"/>
      <c r="Q142" s="272"/>
      <c r="R142" s="273"/>
      <c r="S142" s="306" t="s">
        <v>693</v>
      </c>
      <c r="T142" s="276"/>
      <c r="U142" s="276"/>
      <c r="V142" s="316">
        <v>0</v>
      </c>
      <c r="W142" s="316">
        <v>0</v>
      </c>
      <c r="X142" s="276"/>
      <c r="Y142" s="276">
        <f t="shared" ref="Y142:AD142" si="4">207089/10</f>
        <v>20708.900000000001</v>
      </c>
      <c r="Z142" s="276">
        <f t="shared" si="4"/>
        <v>20708.900000000001</v>
      </c>
      <c r="AA142" s="276">
        <f t="shared" si="4"/>
        <v>20708.900000000001</v>
      </c>
      <c r="AB142" s="276">
        <f t="shared" si="4"/>
        <v>20708.900000000001</v>
      </c>
      <c r="AC142" s="276">
        <f t="shared" si="4"/>
        <v>20708.900000000001</v>
      </c>
      <c r="AD142" s="276">
        <f t="shared" si="4"/>
        <v>20708.900000000001</v>
      </c>
      <c r="AE142" s="316">
        <f>I142-SUM(Y142:AD142)</f>
        <v>82835.600000000006</v>
      </c>
      <c r="AF142" s="411">
        <f t="shared" si="3"/>
        <v>207089</v>
      </c>
      <c r="AG142" s="278"/>
      <c r="AH142" s="278"/>
    </row>
    <row r="143" spans="1:34" s="296" customFormat="1" ht="15.75" thickBot="1" x14ac:dyDescent="0.3">
      <c r="A143" s="412"/>
      <c r="B143" s="665"/>
      <c r="C143" s="667"/>
      <c r="D143" s="667"/>
      <c r="E143" s="284"/>
      <c r="F143" s="669"/>
      <c r="G143" s="669"/>
      <c r="H143" s="286"/>
      <c r="I143" s="671"/>
      <c r="J143" s="416"/>
      <c r="K143" s="417" t="s">
        <v>695</v>
      </c>
      <c r="L143" s="282"/>
      <c r="M143" s="282"/>
      <c r="N143" s="282"/>
      <c r="O143" s="289"/>
      <c r="P143" s="288"/>
      <c r="Q143" s="311"/>
      <c r="R143" s="312"/>
      <c r="S143" s="292" t="s">
        <v>695</v>
      </c>
      <c r="T143" s="376"/>
      <c r="U143" s="376"/>
      <c r="V143" s="376"/>
      <c r="W143" s="294"/>
      <c r="X143" s="294"/>
      <c r="Y143" s="294">
        <f>((SUM(Y142:$AE142))*($L142+$M142))</f>
        <v>3951.25812</v>
      </c>
      <c r="Z143" s="294">
        <f>((SUM(Z142:$AE142))*($L142+$M142))</f>
        <v>3556.1323080000002</v>
      </c>
      <c r="AA143" s="294">
        <f>((SUM(AA142:$AE142))*($L142+$M142))</f>
        <v>3161.006496</v>
      </c>
      <c r="AB143" s="294">
        <f>((SUM(AB142:$AE142))*($L142+$M142))</f>
        <v>2765.8806840000002</v>
      </c>
      <c r="AC143" s="294">
        <f>((SUM(AC142:$AE142))*($L142+$M142))</f>
        <v>2370.754872</v>
      </c>
      <c r="AD143" s="294">
        <f>((SUM(AD142:$AE142))*($L142+$M142))</f>
        <v>1975.62906</v>
      </c>
      <c r="AE143" s="294">
        <f>((SUM(AE142:$AE142))*($L142+$M142))*2</f>
        <v>3161.006496</v>
      </c>
      <c r="AF143" s="413">
        <f t="shared" si="3"/>
        <v>20941.668036000003</v>
      </c>
      <c r="AG143" s="278"/>
      <c r="AH143" s="278"/>
    </row>
    <row r="144" spans="1:34" s="296" customFormat="1" ht="18.600000000000001" customHeight="1" x14ac:dyDescent="0.25">
      <c r="A144" s="410">
        <v>59</v>
      </c>
      <c r="B144" s="664" t="s">
        <v>1006</v>
      </c>
      <c r="C144" s="666" t="s">
        <v>1005</v>
      </c>
      <c r="D144" s="666"/>
      <c r="E144" s="355">
        <v>44594</v>
      </c>
      <c r="F144" s="668">
        <v>2023</v>
      </c>
      <c r="G144" s="668">
        <v>2035</v>
      </c>
      <c r="H144" s="264"/>
      <c r="I144" s="670">
        <v>320141</v>
      </c>
      <c r="J144" s="414"/>
      <c r="K144" s="415" t="s">
        <v>693</v>
      </c>
      <c r="L144" s="369">
        <f>$L$7</f>
        <v>1.6580000000000001E-2</v>
      </c>
      <c r="M144" s="268">
        <f>$M$7</f>
        <v>2.5000000000000001E-3</v>
      </c>
      <c r="N144" s="269"/>
      <c r="O144" s="270"/>
      <c r="P144" s="271"/>
      <c r="Q144" s="272"/>
      <c r="R144" s="273"/>
      <c r="S144" s="306" t="s">
        <v>693</v>
      </c>
      <c r="T144" s="276"/>
      <c r="U144" s="276"/>
      <c r="V144" s="316">
        <v>0</v>
      </c>
      <c r="W144" s="316">
        <v>0</v>
      </c>
      <c r="X144" s="276"/>
      <c r="Y144" s="276">
        <f t="shared" ref="Y144:AD144" si="5">$I$144/12</f>
        <v>26678.416666666668</v>
      </c>
      <c r="Z144" s="276">
        <f t="shared" si="5"/>
        <v>26678.416666666668</v>
      </c>
      <c r="AA144" s="276">
        <f t="shared" si="5"/>
        <v>26678.416666666668</v>
      </c>
      <c r="AB144" s="276">
        <f t="shared" si="5"/>
        <v>26678.416666666668</v>
      </c>
      <c r="AC144" s="276">
        <f t="shared" si="5"/>
        <v>26678.416666666668</v>
      </c>
      <c r="AD144" s="276">
        <f t="shared" si="5"/>
        <v>26678.416666666668</v>
      </c>
      <c r="AE144" s="316">
        <f>I144-SUM(Y144:AD144)</f>
        <v>160070.5</v>
      </c>
      <c r="AF144" s="411">
        <f t="shared" si="3"/>
        <v>320141</v>
      </c>
      <c r="AG144" s="278"/>
      <c r="AH144" s="278"/>
    </row>
    <row r="145" spans="1:34" s="296" customFormat="1" ht="18.600000000000001" customHeight="1" thickBot="1" x14ac:dyDescent="0.3">
      <c r="A145" s="412"/>
      <c r="B145" s="665"/>
      <c r="C145" s="667"/>
      <c r="D145" s="667"/>
      <c r="E145" s="284"/>
      <c r="F145" s="669"/>
      <c r="G145" s="669"/>
      <c r="H145" s="286"/>
      <c r="I145" s="671"/>
      <c r="J145" s="416"/>
      <c r="K145" s="417" t="s">
        <v>695</v>
      </c>
      <c r="L145" s="282"/>
      <c r="M145" s="282"/>
      <c r="N145" s="282"/>
      <c r="O145" s="289"/>
      <c r="P145" s="288"/>
      <c r="Q145" s="311"/>
      <c r="R145" s="312"/>
      <c r="S145" s="292" t="s">
        <v>695</v>
      </c>
      <c r="T145" s="376"/>
      <c r="U145" s="376"/>
      <c r="V145" s="376"/>
      <c r="W145" s="294"/>
      <c r="X145" s="294"/>
      <c r="Y145" s="294">
        <f>((SUM(Y144:$AE144))*($L144+$M144))</f>
        <v>6108.2902800000002</v>
      </c>
      <c r="Z145" s="294">
        <f>((SUM(Z144:$AE144))*($L144+$M144))</f>
        <v>5599.266090000001</v>
      </c>
      <c r="AA145" s="294">
        <f>((SUM(AA144:$AE144))*($L144+$M144))</f>
        <v>5090.2419</v>
      </c>
      <c r="AB145" s="294">
        <f>((SUM(AB144:$AE144))*($L144+$M144))</f>
        <v>4581.2177099999999</v>
      </c>
      <c r="AC145" s="294">
        <f>((SUM(AC144:$AE144))*($L144+$M144))</f>
        <v>4072.1935200000003</v>
      </c>
      <c r="AD145" s="294">
        <f>((SUM(AD144:$AE144))*($L144+$M144))</f>
        <v>3563.1693299999997</v>
      </c>
      <c r="AE145" s="294">
        <f>((SUM(AE144:$AE144))*($L144+$M144))*2</f>
        <v>6108.2902800000002</v>
      </c>
      <c r="AF145" s="413">
        <f t="shared" si="3"/>
        <v>35122.669110000003</v>
      </c>
      <c r="AG145" s="278"/>
      <c r="AH145" s="278"/>
    </row>
    <row r="146" spans="1:34" s="296" customFormat="1" ht="18.600000000000001" customHeight="1" x14ac:dyDescent="0.25">
      <c r="A146" s="410">
        <v>60</v>
      </c>
      <c r="B146" s="664" t="s">
        <v>196</v>
      </c>
      <c r="C146" s="666" t="s">
        <v>1007</v>
      </c>
      <c r="D146" s="666" t="s">
        <v>1008</v>
      </c>
      <c r="E146" s="355">
        <v>44594</v>
      </c>
      <c r="F146" s="668" t="s">
        <v>1009</v>
      </c>
      <c r="G146" s="668">
        <v>2024</v>
      </c>
      <c r="H146" s="264"/>
      <c r="I146" s="670">
        <v>37335</v>
      </c>
      <c r="J146" s="414"/>
      <c r="K146" s="415" t="s">
        <v>693</v>
      </c>
      <c r="L146" s="369">
        <f>$L$7</f>
        <v>1.6580000000000001E-2</v>
      </c>
      <c r="M146" s="268">
        <f>$M$7</f>
        <v>2.5000000000000001E-3</v>
      </c>
      <c r="N146" s="269"/>
      <c r="O146" s="270"/>
      <c r="P146" s="271"/>
      <c r="Q146" s="272"/>
      <c r="R146" s="273"/>
      <c r="S146" s="306" t="s">
        <v>693</v>
      </c>
      <c r="T146" s="276"/>
      <c r="U146" s="276"/>
      <c r="V146" s="316">
        <v>0</v>
      </c>
      <c r="W146" s="316">
        <v>0</v>
      </c>
      <c r="X146" s="276"/>
      <c r="Y146" s="276">
        <f>$I$146</f>
        <v>37335</v>
      </c>
      <c r="Z146" s="276"/>
      <c r="AA146" s="276"/>
      <c r="AB146" s="276"/>
      <c r="AC146" s="276"/>
      <c r="AD146" s="276"/>
      <c r="AE146" s="316"/>
      <c r="AF146" s="411">
        <f t="shared" si="3"/>
        <v>37335</v>
      </c>
      <c r="AG146" s="278"/>
      <c r="AH146" s="278"/>
    </row>
    <row r="147" spans="1:34" s="296" customFormat="1" ht="18.600000000000001" customHeight="1" thickBot="1" x14ac:dyDescent="0.3">
      <c r="A147" s="412"/>
      <c r="B147" s="665"/>
      <c r="C147" s="667"/>
      <c r="D147" s="667"/>
      <c r="E147" s="284"/>
      <c r="F147" s="669"/>
      <c r="G147" s="669"/>
      <c r="H147" s="286"/>
      <c r="I147" s="671"/>
      <c r="J147" s="416"/>
      <c r="K147" s="417" t="s">
        <v>695</v>
      </c>
      <c r="L147" s="282"/>
      <c r="M147" s="282"/>
      <c r="N147" s="282"/>
      <c r="O147" s="289"/>
      <c r="P147" s="288"/>
      <c r="Q147" s="311"/>
      <c r="R147" s="312"/>
      <c r="S147" s="292" t="s">
        <v>695</v>
      </c>
      <c r="T147" s="376"/>
      <c r="U147" s="376"/>
      <c r="V147" s="376"/>
      <c r="W147" s="294"/>
      <c r="X147" s="418"/>
      <c r="Y147" s="418">
        <f>((SUM(Y146:$AE146))*($L146+$M146))</f>
        <v>712.35180000000003</v>
      </c>
      <c r="Z147" s="294">
        <f>((SUM(Z146:$AE146))*($L146+$M146))</f>
        <v>0</v>
      </c>
      <c r="AA147" s="294">
        <f>((SUM(AA146:$AE146))*($L146+$M146))</f>
        <v>0</v>
      </c>
      <c r="AB147" s="294">
        <f>((SUM(AB146:$AE146))*($L146+$M146))</f>
        <v>0</v>
      </c>
      <c r="AC147" s="294">
        <f>((SUM(AC146:$AE146))*($L146+$M146))</f>
        <v>0</v>
      </c>
      <c r="AD147" s="294">
        <f>((SUM(AD146:$AE146))*($L146+$M146))</f>
        <v>0</v>
      </c>
      <c r="AE147" s="294">
        <f>((SUM(AE146:$AE146))*($L146+$M146))*2</f>
        <v>0</v>
      </c>
      <c r="AF147" s="413">
        <f t="shared" si="3"/>
        <v>712.35180000000003</v>
      </c>
      <c r="AG147" s="278"/>
      <c r="AH147" s="278"/>
    </row>
    <row r="148" spans="1:34" s="296" customFormat="1" ht="14.45" customHeight="1" x14ac:dyDescent="0.25">
      <c r="A148" s="410">
        <v>61</v>
      </c>
      <c r="B148" s="664" t="s">
        <v>307</v>
      </c>
      <c r="C148" s="666" t="s">
        <v>1005</v>
      </c>
      <c r="D148" s="666"/>
      <c r="E148" s="355">
        <v>44594</v>
      </c>
      <c r="F148" s="668">
        <v>2023</v>
      </c>
      <c r="G148" s="668">
        <v>2038</v>
      </c>
      <c r="H148" s="264"/>
      <c r="I148" s="670">
        <v>582946</v>
      </c>
      <c r="J148" s="414"/>
      <c r="K148" s="415" t="s">
        <v>693</v>
      </c>
      <c r="L148" s="369">
        <f>$L$7</f>
        <v>1.6580000000000001E-2</v>
      </c>
      <c r="M148" s="268">
        <f>$M$7</f>
        <v>2.5000000000000001E-3</v>
      </c>
      <c r="N148" s="269"/>
      <c r="O148" s="270"/>
      <c r="P148" s="271"/>
      <c r="Q148" s="272"/>
      <c r="R148" s="273"/>
      <c r="S148" s="306" t="s">
        <v>693</v>
      </c>
      <c r="T148" s="276"/>
      <c r="U148" s="276"/>
      <c r="V148" s="316">
        <v>0</v>
      </c>
      <c r="W148" s="316">
        <v>0</v>
      </c>
      <c r="X148" s="276"/>
      <c r="Y148" s="276">
        <f t="shared" ref="Y148:AD148" si="6">$I$148/15</f>
        <v>38863.066666666666</v>
      </c>
      <c r="Z148" s="276">
        <f t="shared" si="6"/>
        <v>38863.066666666666</v>
      </c>
      <c r="AA148" s="276">
        <f t="shared" si="6"/>
        <v>38863.066666666666</v>
      </c>
      <c r="AB148" s="276">
        <f t="shared" si="6"/>
        <v>38863.066666666666</v>
      </c>
      <c r="AC148" s="276">
        <f t="shared" si="6"/>
        <v>38863.066666666666</v>
      </c>
      <c r="AD148" s="276">
        <f t="shared" si="6"/>
        <v>38863.066666666666</v>
      </c>
      <c r="AE148" s="316">
        <f>I148-SUM(Y148:AD148)</f>
        <v>349767.60000000003</v>
      </c>
      <c r="AF148" s="411">
        <f t="shared" si="3"/>
        <v>582946</v>
      </c>
      <c r="AG148" s="278"/>
      <c r="AH148" s="278"/>
    </row>
    <row r="149" spans="1:34" s="296" customFormat="1" ht="14.45" customHeight="1" thickBot="1" x14ac:dyDescent="0.3">
      <c r="A149" s="412"/>
      <c r="B149" s="665"/>
      <c r="C149" s="667"/>
      <c r="D149" s="667"/>
      <c r="E149" s="284"/>
      <c r="F149" s="669"/>
      <c r="G149" s="669"/>
      <c r="H149" s="286"/>
      <c r="I149" s="671"/>
      <c r="J149" s="416"/>
      <c r="K149" s="417" t="s">
        <v>695</v>
      </c>
      <c r="L149" s="282"/>
      <c r="M149" s="282"/>
      <c r="N149" s="282"/>
      <c r="O149" s="289"/>
      <c r="P149" s="288"/>
      <c r="Q149" s="311"/>
      <c r="R149" s="312"/>
      <c r="S149" s="292" t="s">
        <v>695</v>
      </c>
      <c r="T149" s="376"/>
      <c r="U149" s="376"/>
      <c r="V149" s="376"/>
      <c r="W149" s="294"/>
      <c r="X149" s="294"/>
      <c r="Y149" s="294">
        <f>((SUM(Y148:$AE148))*($L148+$M148))</f>
        <v>11122.60968</v>
      </c>
      <c r="Z149" s="294">
        <f>((SUM(Z148:$AE148))*($L148+$M148))</f>
        <v>10381.102368</v>
      </c>
      <c r="AA149" s="294">
        <f>((SUM(AA148:$AE148))*($L148+$M148))</f>
        <v>9639.5950560000001</v>
      </c>
      <c r="AB149" s="294">
        <f>((SUM(AB148:$AE148))*($L148+$M148))</f>
        <v>8898.0877440000004</v>
      </c>
      <c r="AC149" s="294">
        <f>((SUM(AC148:$AE148))*($L148+$M148))</f>
        <v>8156.5804320000007</v>
      </c>
      <c r="AD149" s="294">
        <f>((SUM(AD148:$AE148))*($L148+$M148))</f>
        <v>7415.07312</v>
      </c>
      <c r="AE149" s="294">
        <f>((SUM(AE148:$AE148))*($L148+$M148))*2</f>
        <v>13347.131616000001</v>
      </c>
      <c r="AF149" s="413">
        <f t="shared" si="3"/>
        <v>68960.180015999998</v>
      </c>
      <c r="AG149" s="278"/>
      <c r="AH149" s="278"/>
    </row>
    <row r="150" spans="1:34" s="296" customFormat="1" ht="14.45" customHeight="1" x14ac:dyDescent="0.25">
      <c r="A150" s="419">
        <v>62</v>
      </c>
      <c r="B150" s="664" t="s">
        <v>309</v>
      </c>
      <c r="C150" s="666" t="s">
        <v>1005</v>
      </c>
      <c r="D150" s="666"/>
      <c r="E150" s="355">
        <v>44594</v>
      </c>
      <c r="F150" s="668">
        <v>2023</v>
      </c>
      <c r="G150" s="668">
        <v>2035</v>
      </c>
      <c r="H150" s="264"/>
      <c r="I150" s="670">
        <v>390000</v>
      </c>
      <c r="J150" s="414"/>
      <c r="K150" s="415" t="s">
        <v>693</v>
      </c>
      <c r="L150" s="369">
        <f>$L$7</f>
        <v>1.6580000000000001E-2</v>
      </c>
      <c r="M150" s="268">
        <f>$M$7</f>
        <v>2.5000000000000001E-3</v>
      </c>
      <c r="N150" s="269"/>
      <c r="O150" s="270"/>
      <c r="P150" s="271"/>
      <c r="Q150" s="272"/>
      <c r="R150" s="273"/>
      <c r="S150" s="306" t="s">
        <v>693</v>
      </c>
      <c r="T150" s="276"/>
      <c r="U150" s="276"/>
      <c r="V150" s="316">
        <v>0</v>
      </c>
      <c r="W150" s="316">
        <v>0</v>
      </c>
      <c r="X150" s="276"/>
      <c r="Y150" s="276">
        <f t="shared" ref="Y150:AD150" si="7">$I$150/12</f>
        <v>32500</v>
      </c>
      <c r="Z150" s="276">
        <f t="shared" si="7"/>
        <v>32500</v>
      </c>
      <c r="AA150" s="276">
        <f t="shared" si="7"/>
        <v>32500</v>
      </c>
      <c r="AB150" s="276">
        <f t="shared" si="7"/>
        <v>32500</v>
      </c>
      <c r="AC150" s="276">
        <f t="shared" si="7"/>
        <v>32500</v>
      </c>
      <c r="AD150" s="276">
        <f t="shared" si="7"/>
        <v>32500</v>
      </c>
      <c r="AE150" s="316">
        <f>I150-SUM(Y150:AD150)</f>
        <v>195000</v>
      </c>
      <c r="AF150" s="411">
        <f t="shared" si="3"/>
        <v>390000</v>
      </c>
      <c r="AG150" s="278"/>
      <c r="AH150" s="278"/>
    </row>
    <row r="151" spans="1:34" s="296" customFormat="1" ht="14.45" customHeight="1" thickBot="1" x14ac:dyDescent="0.3">
      <c r="A151" s="420"/>
      <c r="B151" s="665"/>
      <c r="C151" s="667"/>
      <c r="D151" s="667"/>
      <c r="E151" s="284"/>
      <c r="F151" s="669"/>
      <c r="G151" s="669"/>
      <c r="H151" s="286"/>
      <c r="I151" s="671"/>
      <c r="J151" s="416"/>
      <c r="K151" s="417" t="s">
        <v>695</v>
      </c>
      <c r="L151" s="282"/>
      <c r="M151" s="282"/>
      <c r="N151" s="282"/>
      <c r="O151" s="289"/>
      <c r="P151" s="288"/>
      <c r="Q151" s="311"/>
      <c r="R151" s="312"/>
      <c r="S151" s="292" t="s">
        <v>695</v>
      </c>
      <c r="T151" s="376"/>
      <c r="U151" s="376"/>
      <c r="V151" s="376"/>
      <c r="W151" s="294"/>
      <c r="X151" s="294"/>
      <c r="Y151" s="294">
        <f>((SUM(Y150:$AE150))*($L150+$M150))</f>
        <v>7441.2</v>
      </c>
      <c r="Z151" s="294">
        <f>((SUM(Z150:$AE150))*($L150+$M150))</f>
        <v>6821.0999999999995</v>
      </c>
      <c r="AA151" s="294">
        <f>((SUM(AA150:$AE150))*($L150+$M150))</f>
        <v>6201</v>
      </c>
      <c r="AB151" s="294">
        <f>((SUM(AB150:$AE150))*($L150+$M150))</f>
        <v>5580.9</v>
      </c>
      <c r="AC151" s="294">
        <f>((SUM(AC150:$AE150))*($L150+$M150))</f>
        <v>4960.8</v>
      </c>
      <c r="AD151" s="294">
        <f>((SUM(AD150:$AE150))*($L150+$M150))</f>
        <v>4340.7</v>
      </c>
      <c r="AE151" s="294">
        <f>((SUM(AE150:$AE150))*($L150+$M150))*2</f>
        <v>7441.2</v>
      </c>
      <c r="AF151" s="413">
        <f t="shared" si="3"/>
        <v>42786.899999999994</v>
      </c>
      <c r="AG151" s="278"/>
      <c r="AH151" s="278"/>
    </row>
    <row r="152" spans="1:34" s="296" customFormat="1" ht="14.45" customHeight="1" x14ac:dyDescent="0.25">
      <c r="A152" s="410">
        <v>63</v>
      </c>
      <c r="B152" s="664" t="s">
        <v>311</v>
      </c>
      <c r="C152" s="666" t="s">
        <v>1005</v>
      </c>
      <c r="D152" s="666"/>
      <c r="E152" s="355">
        <v>44594</v>
      </c>
      <c r="F152" s="668">
        <v>2023</v>
      </c>
      <c r="G152" s="668">
        <v>2038</v>
      </c>
      <c r="H152" s="264"/>
      <c r="I152" s="670">
        <v>645000</v>
      </c>
      <c r="J152" s="414"/>
      <c r="K152" s="415" t="s">
        <v>693</v>
      </c>
      <c r="L152" s="369">
        <f>$L$7</f>
        <v>1.6580000000000001E-2</v>
      </c>
      <c r="M152" s="268">
        <f>$M$7</f>
        <v>2.5000000000000001E-3</v>
      </c>
      <c r="N152" s="269"/>
      <c r="O152" s="270"/>
      <c r="P152" s="271"/>
      <c r="Q152" s="272"/>
      <c r="R152" s="273"/>
      <c r="S152" s="306" t="s">
        <v>693</v>
      </c>
      <c r="T152" s="276"/>
      <c r="U152" s="276"/>
      <c r="V152" s="316">
        <v>0</v>
      </c>
      <c r="W152" s="316">
        <v>0</v>
      </c>
      <c r="X152" s="276"/>
      <c r="Y152" s="276">
        <f t="shared" ref="Y152:AD152" si="8">$I$152/15</f>
        <v>43000</v>
      </c>
      <c r="Z152" s="276">
        <f t="shared" si="8"/>
        <v>43000</v>
      </c>
      <c r="AA152" s="276">
        <f t="shared" si="8"/>
        <v>43000</v>
      </c>
      <c r="AB152" s="276">
        <f t="shared" si="8"/>
        <v>43000</v>
      </c>
      <c r="AC152" s="276">
        <f t="shared" si="8"/>
        <v>43000</v>
      </c>
      <c r="AD152" s="276">
        <f t="shared" si="8"/>
        <v>43000</v>
      </c>
      <c r="AE152" s="316">
        <f>I152-SUM(Y152:AD152)</f>
        <v>387000</v>
      </c>
      <c r="AF152" s="411">
        <f t="shared" si="3"/>
        <v>645000</v>
      </c>
      <c r="AG152" s="278"/>
      <c r="AH152" s="278"/>
    </row>
    <row r="153" spans="1:34" s="296" customFormat="1" ht="14.45" customHeight="1" thickBot="1" x14ac:dyDescent="0.3">
      <c r="A153" s="412"/>
      <c r="B153" s="665"/>
      <c r="C153" s="667"/>
      <c r="D153" s="667"/>
      <c r="E153" s="284"/>
      <c r="F153" s="669"/>
      <c r="G153" s="669"/>
      <c r="H153" s="286"/>
      <c r="I153" s="671"/>
      <c r="J153" s="416"/>
      <c r="K153" s="417" t="s">
        <v>695</v>
      </c>
      <c r="L153" s="282"/>
      <c r="M153" s="282"/>
      <c r="N153" s="282"/>
      <c r="O153" s="289"/>
      <c r="P153" s="288"/>
      <c r="Q153" s="311"/>
      <c r="R153" s="312"/>
      <c r="S153" s="292" t="s">
        <v>695</v>
      </c>
      <c r="T153" s="376"/>
      <c r="U153" s="376"/>
      <c r="V153" s="376"/>
      <c r="W153" s="294"/>
      <c r="X153" s="294"/>
      <c r="Y153" s="294">
        <f>((SUM(Y152:$AE152))*($L152+$M152))</f>
        <v>12306.6</v>
      </c>
      <c r="Z153" s="294">
        <f>((SUM(Z152:$AE152))*($L152+$M152))</f>
        <v>11486.16</v>
      </c>
      <c r="AA153" s="294">
        <f>((SUM(AA152:$AE152))*($L152+$M152))</f>
        <v>10665.72</v>
      </c>
      <c r="AB153" s="294">
        <f>((SUM(AB152:$AE152))*($L152+$M152))</f>
        <v>9845.2800000000007</v>
      </c>
      <c r="AC153" s="294">
        <f>((SUM(AC152:$AE152))*($L152+$M152))</f>
        <v>9024.84</v>
      </c>
      <c r="AD153" s="294">
        <f>((SUM(AD152:$AE152))*($L152+$M152))</f>
        <v>8204.4</v>
      </c>
      <c r="AE153" s="294">
        <f>((SUM(AE152:$AE152))*($L152+$M152))*2</f>
        <v>14767.92</v>
      </c>
      <c r="AF153" s="413">
        <f t="shared" si="3"/>
        <v>76300.920000000013</v>
      </c>
      <c r="AG153" s="278"/>
      <c r="AH153" s="278"/>
    </row>
    <row r="154" spans="1:34" s="296" customFormat="1" ht="14.45" customHeight="1" x14ac:dyDescent="0.25">
      <c r="A154" s="410">
        <v>64</v>
      </c>
      <c r="B154" s="664" t="s">
        <v>234</v>
      </c>
      <c r="C154" s="666" t="s">
        <v>1005</v>
      </c>
      <c r="D154" s="666"/>
      <c r="E154" s="355">
        <v>44594</v>
      </c>
      <c r="F154" s="668">
        <v>2023</v>
      </c>
      <c r="G154" s="668">
        <v>2028</v>
      </c>
      <c r="H154" s="264"/>
      <c r="I154" s="670">
        <v>164032</v>
      </c>
      <c r="J154" s="414"/>
      <c r="K154" s="415" t="s">
        <v>693</v>
      </c>
      <c r="L154" s="369">
        <f>$L$7</f>
        <v>1.6580000000000001E-2</v>
      </c>
      <c r="M154" s="268">
        <f>$M$7</f>
        <v>2.5000000000000001E-3</v>
      </c>
      <c r="N154" s="269"/>
      <c r="O154" s="270"/>
      <c r="P154" s="271"/>
      <c r="Q154" s="272"/>
      <c r="R154" s="273"/>
      <c r="S154" s="306" t="s">
        <v>693</v>
      </c>
      <c r="T154" s="276"/>
      <c r="U154" s="276"/>
      <c r="V154" s="316">
        <v>0</v>
      </c>
      <c r="W154" s="316">
        <v>0</v>
      </c>
      <c r="X154" s="276"/>
      <c r="Y154" s="276">
        <f>$I$154/5</f>
        <v>32806.400000000001</v>
      </c>
      <c r="Z154" s="276">
        <f>$I$154/5</f>
        <v>32806.400000000001</v>
      </c>
      <c r="AA154" s="276">
        <f>$I$154/5</f>
        <v>32806.400000000001</v>
      </c>
      <c r="AB154" s="276">
        <f>$I$154/5</f>
        <v>32806.400000000001</v>
      </c>
      <c r="AC154" s="276">
        <f>$I$154/5</f>
        <v>32806.400000000001</v>
      </c>
      <c r="AD154" s="276"/>
      <c r="AE154" s="316"/>
      <c r="AF154" s="411">
        <f t="shared" si="3"/>
        <v>164032</v>
      </c>
      <c r="AG154" s="278"/>
      <c r="AH154" s="278"/>
    </row>
    <row r="155" spans="1:34" s="296" customFormat="1" ht="14.45" customHeight="1" thickBot="1" x14ac:dyDescent="0.3">
      <c r="A155" s="412"/>
      <c r="B155" s="665"/>
      <c r="C155" s="667"/>
      <c r="D155" s="667"/>
      <c r="E155" s="284"/>
      <c r="F155" s="669"/>
      <c r="G155" s="669"/>
      <c r="H155" s="286"/>
      <c r="I155" s="671"/>
      <c r="J155" s="416"/>
      <c r="K155" s="417" t="s">
        <v>695</v>
      </c>
      <c r="L155" s="282"/>
      <c r="M155" s="282"/>
      <c r="N155" s="282"/>
      <c r="O155" s="289"/>
      <c r="P155" s="288"/>
      <c r="Q155" s="311"/>
      <c r="R155" s="312"/>
      <c r="S155" s="292" t="s">
        <v>695</v>
      </c>
      <c r="T155" s="376"/>
      <c r="U155" s="376"/>
      <c r="V155" s="376"/>
      <c r="W155" s="294"/>
      <c r="X155" s="294"/>
      <c r="Y155" s="294">
        <f>((SUM(Y154:$AE154))*($L154+$M154))</f>
        <v>3129.73056</v>
      </c>
      <c r="Z155" s="294">
        <f>((SUM(Z154:$AE154))*($L154+$M154))</f>
        <v>2503.7844479999999</v>
      </c>
      <c r="AA155" s="294">
        <f>((SUM(AA154:$AE154))*($L154+$M154))</f>
        <v>1877.8383360000003</v>
      </c>
      <c r="AB155" s="294">
        <f>((SUM(AB154:$AE154))*($L154+$M154))</f>
        <v>1251.8922239999999</v>
      </c>
      <c r="AC155" s="294">
        <f>((SUM(AC154:$AE154))*($L154+$M154))</f>
        <v>625.94611199999997</v>
      </c>
      <c r="AD155" s="294">
        <f>((SUM(AD154:$AE154))*($L154+$M154))</f>
        <v>0</v>
      </c>
      <c r="AE155" s="294">
        <f>((SUM(AE154:$AE154))*($L154+$M154))*2</f>
        <v>0</v>
      </c>
      <c r="AF155" s="413">
        <f t="shared" si="3"/>
        <v>9389.1916799999999</v>
      </c>
      <c r="AG155" s="278"/>
      <c r="AH155" s="278"/>
    </row>
    <row r="156" spans="1:34" s="296" customFormat="1" ht="14.45" customHeight="1" x14ac:dyDescent="0.25">
      <c r="A156" s="410">
        <v>65</v>
      </c>
      <c r="B156" s="664" t="s">
        <v>236</v>
      </c>
      <c r="C156" s="666" t="s">
        <v>1005</v>
      </c>
      <c r="D156" s="666"/>
      <c r="E156" s="355">
        <v>44594</v>
      </c>
      <c r="F156" s="668">
        <v>2023</v>
      </c>
      <c r="G156" s="668">
        <v>2038</v>
      </c>
      <c r="H156" s="264"/>
      <c r="I156" s="670">
        <v>907235</v>
      </c>
      <c r="J156" s="414"/>
      <c r="K156" s="415" t="s">
        <v>693</v>
      </c>
      <c r="L156" s="369">
        <f>$L$7</f>
        <v>1.6580000000000001E-2</v>
      </c>
      <c r="M156" s="268">
        <f>$M$7</f>
        <v>2.5000000000000001E-3</v>
      </c>
      <c r="N156" s="269"/>
      <c r="O156" s="270"/>
      <c r="P156" s="271"/>
      <c r="Q156" s="272"/>
      <c r="R156" s="273"/>
      <c r="S156" s="306" t="s">
        <v>693</v>
      </c>
      <c r="T156" s="276"/>
      <c r="U156" s="276"/>
      <c r="V156" s="316">
        <v>0</v>
      </c>
      <c r="W156" s="316">
        <v>0</v>
      </c>
      <c r="X156" s="276"/>
      <c r="Y156" s="276">
        <f t="shared" ref="Y156:AD156" si="9">$I$156/15</f>
        <v>60482.333333333336</v>
      </c>
      <c r="Z156" s="276">
        <f t="shared" si="9"/>
        <v>60482.333333333336</v>
      </c>
      <c r="AA156" s="276">
        <f t="shared" si="9"/>
        <v>60482.333333333336</v>
      </c>
      <c r="AB156" s="276">
        <f t="shared" si="9"/>
        <v>60482.333333333336</v>
      </c>
      <c r="AC156" s="276">
        <f t="shared" si="9"/>
        <v>60482.333333333336</v>
      </c>
      <c r="AD156" s="276">
        <f t="shared" si="9"/>
        <v>60482.333333333336</v>
      </c>
      <c r="AE156" s="316">
        <f>I156-SUM(Y156:AD156)</f>
        <v>544341</v>
      </c>
      <c r="AF156" s="411">
        <f t="shared" si="3"/>
        <v>907235</v>
      </c>
      <c r="AG156" s="278"/>
      <c r="AH156" s="278"/>
    </row>
    <row r="157" spans="1:34" s="296" customFormat="1" ht="14.45" customHeight="1" thickBot="1" x14ac:dyDescent="0.3">
      <c r="A157" s="412"/>
      <c r="B157" s="665"/>
      <c r="C157" s="667"/>
      <c r="D157" s="667"/>
      <c r="E157" s="284"/>
      <c r="F157" s="669"/>
      <c r="G157" s="669"/>
      <c r="H157" s="286"/>
      <c r="I157" s="671"/>
      <c r="J157" s="416"/>
      <c r="K157" s="417" t="s">
        <v>695</v>
      </c>
      <c r="L157" s="282"/>
      <c r="M157" s="282"/>
      <c r="N157" s="282"/>
      <c r="O157" s="289"/>
      <c r="P157" s="288"/>
      <c r="Q157" s="311"/>
      <c r="R157" s="312"/>
      <c r="S157" s="292" t="s">
        <v>695</v>
      </c>
      <c r="T157" s="376"/>
      <c r="U157" s="376"/>
      <c r="V157" s="376"/>
      <c r="W157" s="294"/>
      <c r="X157" s="294"/>
      <c r="Y157" s="294">
        <f>((SUM(Y156:$AE156))*($L156+$M156))</f>
        <v>17310.043799999999</v>
      </c>
      <c r="Z157" s="294">
        <f>((SUM(Z156:$AE156))*($L156+$M156))</f>
        <v>16156.04088</v>
      </c>
      <c r="AA157" s="294">
        <f>((SUM(AA156:$AE156))*($L156+$M156))</f>
        <v>15002.03796</v>
      </c>
      <c r="AB157" s="294">
        <f>((SUM(AB156:$AE156))*($L156+$M156))</f>
        <v>13848.035040000001</v>
      </c>
      <c r="AC157" s="294">
        <f>((SUM(AC156:$AE156))*($L156+$M156))</f>
        <v>12694.03212</v>
      </c>
      <c r="AD157" s="294">
        <f>((SUM(AD156:$AE156))*($L156+$M156))</f>
        <v>11540.029200000001</v>
      </c>
      <c r="AE157" s="294">
        <f>((SUM(AE156:$AE156))*($L156+$M156))*2</f>
        <v>20772.05256</v>
      </c>
      <c r="AF157" s="413">
        <f t="shared" si="3"/>
        <v>107322.27156000001</v>
      </c>
      <c r="AG157" s="278"/>
      <c r="AH157" s="278"/>
    </row>
    <row r="158" spans="1:34" s="296" customFormat="1" ht="14.45" customHeight="1" x14ac:dyDescent="0.25">
      <c r="A158" s="419">
        <v>66</v>
      </c>
      <c r="B158" s="664" t="s">
        <v>315</v>
      </c>
      <c r="C158" s="666" t="s">
        <v>1005</v>
      </c>
      <c r="D158" s="666"/>
      <c r="E158" s="355">
        <v>44594</v>
      </c>
      <c r="F158" s="668">
        <v>2023</v>
      </c>
      <c r="G158" s="668">
        <v>2038</v>
      </c>
      <c r="H158" s="264"/>
      <c r="I158" s="670">
        <v>287500</v>
      </c>
      <c r="J158" s="414"/>
      <c r="K158" s="415" t="s">
        <v>693</v>
      </c>
      <c r="L158" s="369">
        <f>$L$7</f>
        <v>1.6580000000000001E-2</v>
      </c>
      <c r="M158" s="268">
        <f>$M$7</f>
        <v>2.5000000000000001E-3</v>
      </c>
      <c r="N158" s="269"/>
      <c r="O158" s="270"/>
      <c r="P158" s="271"/>
      <c r="Q158" s="272"/>
      <c r="R158" s="273"/>
      <c r="S158" s="306" t="s">
        <v>693</v>
      </c>
      <c r="T158" s="276"/>
      <c r="U158" s="276"/>
      <c r="V158" s="316">
        <v>0</v>
      </c>
      <c r="W158" s="316">
        <v>0</v>
      </c>
      <c r="X158" s="276"/>
      <c r="Y158" s="276">
        <f>$I$158/15</f>
        <v>19166.666666666668</v>
      </c>
      <c r="Z158" s="276">
        <f t="shared" ref="Z158:AD158" si="10">$I$158/15</f>
        <v>19166.666666666668</v>
      </c>
      <c r="AA158" s="276">
        <f t="shared" si="10"/>
        <v>19166.666666666668</v>
      </c>
      <c r="AB158" s="276">
        <f t="shared" si="10"/>
        <v>19166.666666666668</v>
      </c>
      <c r="AC158" s="276">
        <f t="shared" si="10"/>
        <v>19166.666666666668</v>
      </c>
      <c r="AD158" s="276">
        <f t="shared" si="10"/>
        <v>19166.666666666668</v>
      </c>
      <c r="AE158" s="316">
        <f>I158-SUM(Y158:AD158)</f>
        <v>172500</v>
      </c>
      <c r="AF158" s="411">
        <f t="shared" si="3"/>
        <v>287500</v>
      </c>
      <c r="AG158" s="278"/>
      <c r="AH158" s="278"/>
    </row>
    <row r="159" spans="1:34" s="296" customFormat="1" ht="14.45" customHeight="1" thickBot="1" x14ac:dyDescent="0.3">
      <c r="A159" s="420"/>
      <c r="B159" s="665"/>
      <c r="C159" s="667"/>
      <c r="D159" s="667"/>
      <c r="E159" s="284"/>
      <c r="F159" s="669"/>
      <c r="G159" s="669"/>
      <c r="H159" s="286"/>
      <c r="I159" s="671"/>
      <c r="J159" s="416"/>
      <c r="K159" s="417" t="s">
        <v>695</v>
      </c>
      <c r="L159" s="282"/>
      <c r="M159" s="282"/>
      <c r="N159" s="282"/>
      <c r="O159" s="289"/>
      <c r="P159" s="288"/>
      <c r="Q159" s="311"/>
      <c r="R159" s="312"/>
      <c r="S159" s="292" t="s">
        <v>695</v>
      </c>
      <c r="T159" s="376"/>
      <c r="U159" s="376"/>
      <c r="V159" s="376"/>
      <c r="W159" s="294"/>
      <c r="X159" s="294"/>
      <c r="Y159" s="294">
        <f>((SUM(Y158:$AE158))*($L158+$M158))</f>
        <v>5485.5</v>
      </c>
      <c r="Z159" s="294">
        <f>((SUM(Z158:$AE158))*($L158+$M158))</f>
        <v>5119.8000000000011</v>
      </c>
      <c r="AA159" s="294">
        <f>((SUM(AA158:$AE158))*($L158+$M158))</f>
        <v>4754.1000000000004</v>
      </c>
      <c r="AB159" s="294">
        <f>((SUM(AB158:$AE158))*($L158+$M158))</f>
        <v>4388.3999999999996</v>
      </c>
      <c r="AC159" s="294">
        <f>((SUM(AC158:$AE158))*($L158+$M158))</f>
        <v>4022.7000000000003</v>
      </c>
      <c r="AD159" s="294">
        <f>((SUM(AD158:$AE158))*($L158+$M158))</f>
        <v>3656.9999999999995</v>
      </c>
      <c r="AE159" s="294">
        <f>((SUM(AE158:$AE158))*($L158+$M158))*2</f>
        <v>6582.6</v>
      </c>
      <c r="AF159" s="413">
        <f t="shared" si="3"/>
        <v>34010.100000000006</v>
      </c>
      <c r="AG159" s="278"/>
      <c r="AH159" s="278"/>
    </row>
    <row r="160" spans="1:34" s="296" customFormat="1" ht="14.45" customHeight="1" x14ac:dyDescent="0.25">
      <c r="A160" s="419">
        <v>67</v>
      </c>
      <c r="B160" s="664" t="s">
        <v>318</v>
      </c>
      <c r="C160" s="666" t="s">
        <v>1005</v>
      </c>
      <c r="D160" s="666"/>
      <c r="E160" s="355">
        <v>44594</v>
      </c>
      <c r="F160" s="668">
        <v>2023</v>
      </c>
      <c r="G160" s="668">
        <v>2030</v>
      </c>
      <c r="H160" s="264"/>
      <c r="I160" s="670">
        <v>126000</v>
      </c>
      <c r="J160" s="414"/>
      <c r="K160" s="415" t="s">
        <v>693</v>
      </c>
      <c r="L160" s="369">
        <f>$L$7</f>
        <v>1.6580000000000001E-2</v>
      </c>
      <c r="M160" s="268">
        <f>$M$7</f>
        <v>2.5000000000000001E-3</v>
      </c>
      <c r="N160" s="269"/>
      <c r="O160" s="270"/>
      <c r="P160" s="271"/>
      <c r="Q160" s="272"/>
      <c r="R160" s="273"/>
      <c r="S160" s="306" t="s">
        <v>693</v>
      </c>
      <c r="T160" s="276"/>
      <c r="U160" s="276"/>
      <c r="V160" s="316">
        <v>0</v>
      </c>
      <c r="W160" s="316">
        <v>0</v>
      </c>
      <c r="X160" s="276"/>
      <c r="Y160" s="276">
        <f t="shared" ref="Y160:AD162" si="11">$I$160/7</f>
        <v>18000</v>
      </c>
      <c r="Z160" s="276">
        <f t="shared" si="11"/>
        <v>18000</v>
      </c>
      <c r="AA160" s="276">
        <f t="shared" si="11"/>
        <v>18000</v>
      </c>
      <c r="AB160" s="276">
        <f t="shared" si="11"/>
        <v>18000</v>
      </c>
      <c r="AC160" s="276">
        <f t="shared" si="11"/>
        <v>18000</v>
      </c>
      <c r="AD160" s="276">
        <f t="shared" si="11"/>
        <v>18000</v>
      </c>
      <c r="AE160" s="316">
        <f>I160-SUM(Y160:AD160)</f>
        <v>18000</v>
      </c>
      <c r="AF160" s="411">
        <f t="shared" si="3"/>
        <v>126000</v>
      </c>
      <c r="AG160" s="278"/>
      <c r="AH160" s="278"/>
    </row>
    <row r="161" spans="1:35" s="296" customFormat="1" ht="14.45" customHeight="1" thickBot="1" x14ac:dyDescent="0.3">
      <c r="A161" s="420"/>
      <c r="B161" s="665"/>
      <c r="C161" s="667"/>
      <c r="D161" s="667"/>
      <c r="E161" s="284"/>
      <c r="F161" s="669"/>
      <c r="G161" s="669"/>
      <c r="H161" s="286"/>
      <c r="I161" s="671"/>
      <c r="J161" s="416"/>
      <c r="K161" s="417" t="s">
        <v>695</v>
      </c>
      <c r="L161" s="282"/>
      <c r="M161" s="282"/>
      <c r="N161" s="282"/>
      <c r="O161" s="289"/>
      <c r="P161" s="288"/>
      <c r="Q161" s="311"/>
      <c r="R161" s="312"/>
      <c r="S161" s="292" t="s">
        <v>695</v>
      </c>
      <c r="T161" s="376"/>
      <c r="U161" s="376"/>
      <c r="V161" s="376"/>
      <c r="W161" s="294"/>
      <c r="X161" s="294"/>
      <c r="Y161" s="294">
        <f>((SUM(Y160:$AE160))*($L160+$M160))</f>
        <v>2404.08</v>
      </c>
      <c r="Z161" s="294">
        <f>((SUM(Z160:$AE160))*($L160+$M160))</f>
        <v>2060.64</v>
      </c>
      <c r="AA161" s="294">
        <f>((SUM(AA160:$AE160))*($L160+$M160))</f>
        <v>1717.2</v>
      </c>
      <c r="AB161" s="294">
        <f>((SUM(AB160:$AE160))*($L160+$M160))</f>
        <v>1373.76</v>
      </c>
      <c r="AC161" s="294">
        <f>((SUM(AC160:$AE160))*($L160+$M160))</f>
        <v>1030.32</v>
      </c>
      <c r="AD161" s="294">
        <f>((SUM(AD160:$AE160))*($L160+$M160))</f>
        <v>686.88</v>
      </c>
      <c r="AE161" s="294">
        <f>((SUM(AE160:$AE160))*($L160+$M160))*2</f>
        <v>686.88</v>
      </c>
      <c r="AF161" s="413">
        <f t="shared" si="3"/>
        <v>9959.7599999999984</v>
      </c>
      <c r="AG161" s="278"/>
      <c r="AH161" s="278"/>
    </row>
    <row r="162" spans="1:35" s="296" customFormat="1" ht="14.45" customHeight="1" x14ac:dyDescent="0.25">
      <c r="A162" s="419">
        <v>68</v>
      </c>
      <c r="B162" s="664" t="s">
        <v>320</v>
      </c>
      <c r="C162" s="666" t="s">
        <v>1005</v>
      </c>
      <c r="D162" s="666"/>
      <c r="E162" s="355">
        <v>44594</v>
      </c>
      <c r="F162" s="668">
        <v>2023</v>
      </c>
      <c r="G162" s="668">
        <v>2030</v>
      </c>
      <c r="H162" s="264"/>
      <c r="I162" s="670">
        <v>126000</v>
      </c>
      <c r="J162" s="414"/>
      <c r="K162" s="415" t="s">
        <v>693</v>
      </c>
      <c r="L162" s="369">
        <f>$L$7</f>
        <v>1.6580000000000001E-2</v>
      </c>
      <c r="M162" s="268">
        <f>$M$7</f>
        <v>2.5000000000000001E-3</v>
      </c>
      <c r="N162" s="269"/>
      <c r="O162" s="270"/>
      <c r="P162" s="271"/>
      <c r="Q162" s="272"/>
      <c r="R162" s="273"/>
      <c r="S162" s="306" t="s">
        <v>693</v>
      </c>
      <c r="T162" s="276"/>
      <c r="U162" s="276"/>
      <c r="V162" s="316">
        <v>0</v>
      </c>
      <c r="W162" s="316">
        <v>0</v>
      </c>
      <c r="X162" s="276"/>
      <c r="Y162" s="276">
        <f t="shared" si="11"/>
        <v>18000</v>
      </c>
      <c r="Z162" s="276">
        <f t="shared" si="11"/>
        <v>18000</v>
      </c>
      <c r="AA162" s="276">
        <f t="shared" si="11"/>
        <v>18000</v>
      </c>
      <c r="AB162" s="276">
        <f t="shared" si="11"/>
        <v>18000</v>
      </c>
      <c r="AC162" s="276">
        <f t="shared" si="11"/>
        <v>18000</v>
      </c>
      <c r="AD162" s="276">
        <f t="shared" si="11"/>
        <v>18000</v>
      </c>
      <c r="AE162" s="316">
        <f>I162-SUM(Y162:AD162)</f>
        <v>18000</v>
      </c>
      <c r="AF162" s="411">
        <f t="shared" ref="AF162:AF163" si="12">SUM(X162:AE162)</f>
        <v>126000</v>
      </c>
      <c r="AG162" s="278"/>
      <c r="AH162" s="278"/>
    </row>
    <row r="163" spans="1:35" s="296" customFormat="1" ht="14.45" customHeight="1" thickBot="1" x14ac:dyDescent="0.3">
      <c r="A163" s="420"/>
      <c r="B163" s="665"/>
      <c r="C163" s="667"/>
      <c r="D163" s="667"/>
      <c r="E163" s="284"/>
      <c r="F163" s="669"/>
      <c r="G163" s="669"/>
      <c r="H163" s="286"/>
      <c r="I163" s="671"/>
      <c r="J163" s="416"/>
      <c r="K163" s="417" t="s">
        <v>695</v>
      </c>
      <c r="L163" s="282"/>
      <c r="M163" s="282"/>
      <c r="N163" s="282"/>
      <c r="O163" s="289"/>
      <c r="P163" s="288"/>
      <c r="Q163" s="311"/>
      <c r="R163" s="312"/>
      <c r="S163" s="292" t="s">
        <v>695</v>
      </c>
      <c r="T163" s="376"/>
      <c r="U163" s="376"/>
      <c r="V163" s="376"/>
      <c r="W163" s="294"/>
      <c r="X163" s="294"/>
      <c r="Y163" s="294">
        <f>((SUM(Y162:$AE162))*($L162+$M162))</f>
        <v>2404.08</v>
      </c>
      <c r="Z163" s="294">
        <f>((SUM(Z162:$AE162))*($L162+$M162))</f>
        <v>2060.64</v>
      </c>
      <c r="AA163" s="294">
        <f>((SUM(AA162:$AE162))*($L162+$M162))</f>
        <v>1717.2</v>
      </c>
      <c r="AB163" s="294">
        <f>((SUM(AB162:$AE162))*($L162+$M162))</f>
        <v>1373.76</v>
      </c>
      <c r="AC163" s="294">
        <f>((SUM(AC162:$AE162))*($L162+$M162))</f>
        <v>1030.32</v>
      </c>
      <c r="AD163" s="294">
        <f>((SUM(AD162:$AE162))*($L162+$M162))</f>
        <v>686.88</v>
      </c>
      <c r="AE163" s="294">
        <f>((SUM(AE162:$AE162))*($L162+$M162))*2</f>
        <v>686.88</v>
      </c>
      <c r="AF163" s="413">
        <f t="shared" si="12"/>
        <v>9959.7599999999984</v>
      </c>
      <c r="AG163" s="278"/>
      <c r="AH163" s="278"/>
    </row>
    <row r="164" spans="1:35" s="296" customFormat="1" ht="15" x14ac:dyDescent="0.25">
      <c r="A164" s="421"/>
      <c r="B164" s="422"/>
      <c r="C164" s="423"/>
      <c r="D164" s="423"/>
      <c r="E164" s="424"/>
      <c r="F164" s="424"/>
      <c r="G164" s="423"/>
      <c r="H164" s="425"/>
      <c r="I164" s="426"/>
      <c r="J164" s="427"/>
      <c r="K164" s="320"/>
      <c r="L164" s="423"/>
      <c r="M164" s="423"/>
      <c r="N164" s="423"/>
      <c r="O164" s="428"/>
      <c r="P164" s="320"/>
      <c r="Q164" s="429"/>
      <c r="R164" s="429"/>
      <c r="S164" s="430" t="s">
        <v>1010</v>
      </c>
      <c r="T164" s="431"/>
      <c r="U164" s="432">
        <f>SUM(U10:U139)</f>
        <v>1369725.3362392264</v>
      </c>
      <c r="V164" s="432">
        <f>SUM(V10:V139)</f>
        <v>4080093.6945923315</v>
      </c>
      <c r="W164" s="432">
        <f>SUM(W10:W139)</f>
        <v>3717826.1010774849</v>
      </c>
      <c r="X164" s="433">
        <f>SUM(X10:X163)</f>
        <v>4649229.4759502942</v>
      </c>
      <c r="Y164" s="433">
        <f t="shared" ref="Y164:AF164" si="13">SUM(Y10:Y163)</f>
        <v>4801052.4181610206</v>
      </c>
      <c r="Z164" s="433">
        <f t="shared" si="13"/>
        <v>4618596.7249774113</v>
      </c>
      <c r="AA164" s="433">
        <f t="shared" si="13"/>
        <v>4499599.1876041032</v>
      </c>
      <c r="AB164" s="433">
        <f t="shared" si="13"/>
        <v>4287346.8192304941</v>
      </c>
      <c r="AC164" s="433">
        <f t="shared" si="13"/>
        <v>4164784.1301368861</v>
      </c>
      <c r="AD164" s="433">
        <f t="shared" si="13"/>
        <v>3990512.235893277</v>
      </c>
      <c r="AE164" s="433">
        <f t="shared" si="13"/>
        <v>42439238.785758451</v>
      </c>
      <c r="AF164" s="433">
        <f t="shared" si="13"/>
        <v>73450359.777711928</v>
      </c>
      <c r="AG164" s="434"/>
      <c r="AH164" s="278"/>
    </row>
    <row r="165" spans="1:35" x14ac:dyDescent="0.2">
      <c r="H165" s="435"/>
      <c r="I165" s="436"/>
      <c r="J165" s="435"/>
      <c r="K165" s="436"/>
      <c r="O165" s="437"/>
      <c r="P165" s="436"/>
      <c r="X165" s="438"/>
      <c r="Y165" s="438"/>
      <c r="Z165" s="438"/>
      <c r="AA165" s="438"/>
      <c r="AB165" s="438"/>
      <c r="AC165" s="438"/>
      <c r="AD165" s="438"/>
      <c r="AE165" s="438"/>
      <c r="AF165" s="438"/>
      <c r="AH165" s="278" t="s">
        <v>1011</v>
      </c>
    </row>
    <row r="166" spans="1:35" s="296" customFormat="1" ht="13.9" hidden="1" customHeight="1" outlineLevel="1" x14ac:dyDescent="0.2">
      <c r="A166" s="421"/>
      <c r="B166" s="439" t="s">
        <v>639</v>
      </c>
      <c r="C166" s="440"/>
      <c r="D166" s="441"/>
      <c r="E166" s="442"/>
      <c r="F166" s="439" t="s">
        <v>1012</v>
      </c>
      <c r="G166" s="439"/>
      <c r="H166" s="443"/>
      <c r="I166" s="444"/>
      <c r="J166" s="445"/>
      <c r="K166" s="446"/>
      <c r="L166" s="444"/>
      <c r="M166" s="444"/>
      <c r="N166" s="444"/>
      <c r="O166" s="444"/>
      <c r="P166" s="444"/>
      <c r="Q166" s="444">
        <f>SUM(Q10:Q165)</f>
        <v>9816171</v>
      </c>
      <c r="R166" s="444">
        <f>SUM(R10:R165)</f>
        <v>9638788</v>
      </c>
      <c r="S166" s="447" t="s">
        <v>693</v>
      </c>
      <c r="T166" s="448"/>
      <c r="U166" s="449">
        <f t="shared" ref="U166:AE167" si="14">SUMIF($S$10:$S$69,$S166,U$10:U$69)</f>
        <v>1100521.7431783541</v>
      </c>
      <c r="V166" s="449">
        <f t="shared" si="14"/>
        <v>2313981.0731783542</v>
      </c>
      <c r="W166" s="449">
        <f t="shared" si="14"/>
        <v>1761953.5999999999</v>
      </c>
      <c r="X166" s="450">
        <f t="shared" si="14"/>
        <v>1831719.1379218104</v>
      </c>
      <c r="Y166" s="449">
        <f t="shared" si="14"/>
        <v>1813667.8379218103</v>
      </c>
      <c r="Z166" s="449">
        <f t="shared" si="14"/>
        <v>1804908.1679218104</v>
      </c>
      <c r="AA166" s="449">
        <f t="shared" si="14"/>
        <v>1782158.8379218101</v>
      </c>
      <c r="AB166" s="449">
        <f t="shared" si="14"/>
        <v>1736214.8379218103</v>
      </c>
      <c r="AC166" s="449">
        <f t="shared" si="14"/>
        <v>1692649.8379218103</v>
      </c>
      <c r="AD166" s="449">
        <f t="shared" si="14"/>
        <v>1663423.8379218103</v>
      </c>
      <c r="AE166" s="449">
        <f t="shared" si="14"/>
        <v>12947279.718703706</v>
      </c>
      <c r="AF166" s="449">
        <f>SUM(X166:AE166)</f>
        <v>25272022.214156378</v>
      </c>
      <c r="AH166" s="449">
        <v>25272022.214156378</v>
      </c>
      <c r="AI166" s="451">
        <f>AF166-AH166</f>
        <v>0</v>
      </c>
    </row>
    <row r="167" spans="1:35" s="296" customFormat="1" ht="13.9" hidden="1" customHeight="1" outlineLevel="1" thickBot="1" x14ac:dyDescent="0.25">
      <c r="A167" s="421"/>
      <c r="B167" s="452"/>
      <c r="C167" s="453"/>
      <c r="D167" s="454"/>
      <c r="E167" s="455"/>
      <c r="F167" s="456" t="s">
        <v>1013</v>
      </c>
      <c r="G167" s="457"/>
      <c r="H167" s="458"/>
      <c r="I167" s="459"/>
      <c r="J167" s="460"/>
      <c r="K167" s="461"/>
      <c r="L167" s="459"/>
      <c r="M167" s="459"/>
      <c r="N167" s="459"/>
      <c r="O167" s="459"/>
      <c r="P167" s="459"/>
      <c r="Q167" s="459"/>
      <c r="R167" s="459"/>
      <c r="S167" s="459" t="s">
        <v>695</v>
      </c>
      <c r="T167" s="462"/>
      <c r="U167" s="463">
        <f t="shared" si="14"/>
        <v>269203.59306087194</v>
      </c>
      <c r="V167" s="463">
        <f t="shared" si="14"/>
        <v>493260.21641397773</v>
      </c>
      <c r="W167" s="463">
        <f t="shared" si="14"/>
        <v>517432.22777248354</v>
      </c>
      <c r="X167" s="464">
        <f t="shared" si="14"/>
        <v>503393.41598848347</v>
      </c>
      <c r="Y167" s="463">
        <f t="shared" si="14"/>
        <v>466795.28154587554</v>
      </c>
      <c r="Z167" s="463">
        <f t="shared" si="14"/>
        <v>430527.26238026732</v>
      </c>
      <c r="AA167" s="463">
        <f t="shared" si="14"/>
        <v>394435.22498495888</v>
      </c>
      <c r="AB167" s="463">
        <f t="shared" si="14"/>
        <v>358799.96594935097</v>
      </c>
      <c r="AC167" s="463">
        <f t="shared" si="14"/>
        <v>324087.72187374264</v>
      </c>
      <c r="AD167" s="463">
        <f t="shared" si="14"/>
        <v>290250.6986481346</v>
      </c>
      <c r="AE167" s="463">
        <f t="shared" si="14"/>
        <v>3460738.7371507417</v>
      </c>
      <c r="AF167" s="463">
        <f>SUM(X167:AE167)</f>
        <v>6229028.3085215557</v>
      </c>
      <c r="AH167" s="463">
        <v>6329408.1099951668</v>
      </c>
      <c r="AI167" s="451">
        <f t="shared" ref="AI167:AI176" si="15">AF167-AH167</f>
        <v>-100379.80147361103</v>
      </c>
    </row>
    <row r="168" spans="1:35" s="296" customFormat="1" ht="13.9" hidden="1" customHeight="1" outlineLevel="1" thickTop="1" x14ac:dyDescent="0.2">
      <c r="A168" s="421"/>
      <c r="B168" s="465"/>
      <c r="C168" s="440"/>
      <c r="D168" s="441"/>
      <c r="E168" s="442"/>
      <c r="F168" s="439" t="s">
        <v>1014</v>
      </c>
      <c r="G168" s="439"/>
      <c r="H168" s="443"/>
      <c r="I168" s="444"/>
      <c r="J168" s="445"/>
      <c r="K168" s="446"/>
      <c r="L168" s="444"/>
      <c r="M168" s="444"/>
      <c r="N168" s="444"/>
      <c r="O168" s="444"/>
      <c r="P168" s="444"/>
      <c r="Q168" s="444"/>
      <c r="R168" s="444"/>
      <c r="S168" s="444"/>
      <c r="T168" s="448"/>
      <c r="U168" s="449">
        <f>SUM(U166:U167)</f>
        <v>1369725.3362392262</v>
      </c>
      <c r="V168" s="449">
        <f t="shared" ref="V168:AE168" si="16">SUM(V166:V167)</f>
        <v>2807241.2895923317</v>
      </c>
      <c r="W168" s="449">
        <f t="shared" si="16"/>
        <v>2279385.8277724832</v>
      </c>
      <c r="X168" s="466">
        <f t="shared" si="16"/>
        <v>2335112.5539102936</v>
      </c>
      <c r="Y168" s="449">
        <f t="shared" si="16"/>
        <v>2280463.1194676859</v>
      </c>
      <c r="Z168" s="449">
        <f t="shared" si="16"/>
        <v>2235435.4303020779</v>
      </c>
      <c r="AA168" s="449">
        <f t="shared" si="16"/>
        <v>2176594.0629067691</v>
      </c>
      <c r="AB168" s="449">
        <f t="shared" si="16"/>
        <v>2095014.8038711613</v>
      </c>
      <c r="AC168" s="449">
        <f t="shared" si="16"/>
        <v>2016737.5597955529</v>
      </c>
      <c r="AD168" s="449">
        <f t="shared" si="16"/>
        <v>1953674.536569945</v>
      </c>
      <c r="AE168" s="449">
        <f t="shared" si="16"/>
        <v>16408018.455854448</v>
      </c>
      <c r="AF168" s="449">
        <f>SUM(X168:AE168)</f>
        <v>31501050.522677936</v>
      </c>
      <c r="AH168" s="449">
        <v>31601430.324151546</v>
      </c>
      <c r="AI168" s="451">
        <f t="shared" si="15"/>
        <v>-100379.8014736101</v>
      </c>
    </row>
    <row r="169" spans="1:35" s="296" customFormat="1" ht="5.25" hidden="1" customHeight="1" outlineLevel="1" x14ac:dyDescent="0.2">
      <c r="A169" s="421"/>
      <c r="B169" s="467"/>
      <c r="C169" s="422"/>
      <c r="D169" s="423"/>
      <c r="E169" s="468"/>
      <c r="F169" s="434"/>
      <c r="G169" s="434"/>
      <c r="H169" s="469"/>
      <c r="I169" s="320"/>
      <c r="J169" s="469"/>
      <c r="K169" s="320"/>
      <c r="L169" s="320"/>
      <c r="M169" s="320"/>
      <c r="N169" s="320"/>
      <c r="O169" s="320"/>
      <c r="P169" s="320"/>
      <c r="Q169" s="320"/>
      <c r="R169" s="320"/>
      <c r="S169" s="320"/>
      <c r="T169" s="448"/>
      <c r="U169" s="431"/>
      <c r="V169" s="431"/>
      <c r="W169" s="431"/>
      <c r="X169" s="470"/>
      <c r="Y169" s="471"/>
      <c r="Z169" s="471"/>
      <c r="AA169" s="471"/>
      <c r="AB169" s="471"/>
      <c r="AC169" s="471"/>
      <c r="AD169" s="471"/>
      <c r="AE169" s="471"/>
      <c r="AF169" s="471"/>
      <c r="AH169" s="471"/>
      <c r="AI169" s="451">
        <f t="shared" si="15"/>
        <v>0</v>
      </c>
    </row>
    <row r="170" spans="1:35" s="296" customFormat="1" ht="13.9" hidden="1" customHeight="1" outlineLevel="1" x14ac:dyDescent="0.2">
      <c r="A170" s="421"/>
      <c r="B170" s="472" t="s">
        <v>642</v>
      </c>
      <c r="C170" s="473"/>
      <c r="D170" s="474"/>
      <c r="E170" s="475"/>
      <c r="F170" s="472" t="s">
        <v>1012</v>
      </c>
      <c r="G170" s="472"/>
      <c r="H170" s="476"/>
      <c r="I170" s="477"/>
      <c r="J170" s="445"/>
      <c r="K170" s="446"/>
      <c r="L170" s="477"/>
      <c r="M170" s="477"/>
      <c r="N170" s="477"/>
      <c r="O170" s="477"/>
      <c r="P170" s="477"/>
      <c r="Q170" s="477">
        <f>SUM(Q11:Q166)</f>
        <v>17549429</v>
      </c>
      <c r="R170" s="477">
        <f>SUM(R11:R166)</f>
        <v>17211737</v>
      </c>
      <c r="S170" s="477" t="s">
        <v>693</v>
      </c>
      <c r="T170" s="448"/>
      <c r="U170" s="478"/>
      <c r="V170" s="478">
        <f>SUMIF($S$70:$S$139,$S170,V$70:V$139)</f>
        <v>1233073.6299999999</v>
      </c>
      <c r="W170" s="478">
        <f t="shared" ref="W170:AE171" si="17">SUMIF($S$70:$S$139,$S170,W$70:W$139)</f>
        <v>1362540</v>
      </c>
      <c r="X170" s="479">
        <f t="shared" si="17"/>
        <v>1770171</v>
      </c>
      <c r="Y170" s="478">
        <f t="shared" si="17"/>
        <v>1577844</v>
      </c>
      <c r="Z170" s="478">
        <f t="shared" si="17"/>
        <v>1514716</v>
      </c>
      <c r="AA170" s="478">
        <f t="shared" si="17"/>
        <v>1489608</v>
      </c>
      <c r="AB170" s="478">
        <f t="shared" si="17"/>
        <v>1393504</v>
      </c>
      <c r="AC170" s="478">
        <f t="shared" si="17"/>
        <v>1381954</v>
      </c>
      <c r="AD170" s="478">
        <f t="shared" si="17"/>
        <v>1348051</v>
      </c>
      <c r="AE170" s="478">
        <f t="shared" si="17"/>
        <v>18008215</v>
      </c>
      <c r="AF170" s="478">
        <f>SUM(X170:AE170)</f>
        <v>28484063</v>
      </c>
      <c r="AH170" s="478">
        <v>28671572</v>
      </c>
      <c r="AI170" s="451">
        <f t="shared" si="15"/>
        <v>-187509</v>
      </c>
    </row>
    <row r="171" spans="1:35" s="296" customFormat="1" ht="13.9" hidden="1" customHeight="1" outlineLevel="1" thickBot="1" x14ac:dyDescent="0.25">
      <c r="A171" s="421"/>
      <c r="B171" s="480"/>
      <c r="C171" s="481"/>
      <c r="D171" s="482"/>
      <c r="E171" s="483"/>
      <c r="F171" s="484" t="s">
        <v>1013</v>
      </c>
      <c r="G171" s="485"/>
      <c r="H171" s="486"/>
      <c r="I171" s="487"/>
      <c r="J171" s="460"/>
      <c r="K171" s="461"/>
      <c r="L171" s="487"/>
      <c r="M171" s="487"/>
      <c r="N171" s="487"/>
      <c r="O171" s="487"/>
      <c r="P171" s="487"/>
      <c r="Q171" s="487"/>
      <c r="R171" s="487"/>
      <c r="S171" s="487" t="s">
        <v>695</v>
      </c>
      <c r="T171" s="462"/>
      <c r="U171" s="488"/>
      <c r="V171" s="488">
        <f>SUMIF($S$70:$S$139,$S171,V$70:V$139)</f>
        <v>39778.774999999994</v>
      </c>
      <c r="W171" s="488">
        <f t="shared" si="17"/>
        <v>75900.273305000024</v>
      </c>
      <c r="X171" s="489">
        <f t="shared" si="17"/>
        <v>543945.92203999998</v>
      </c>
      <c r="Y171" s="488">
        <f t="shared" si="17"/>
        <v>509701.05936000001</v>
      </c>
      <c r="Z171" s="488">
        <f t="shared" si="17"/>
        <v>479595.79583999992</v>
      </c>
      <c r="AA171" s="488">
        <f t="shared" si="17"/>
        <v>450695.01456000004</v>
      </c>
      <c r="AB171" s="488">
        <f t="shared" si="17"/>
        <v>422273.29392000008</v>
      </c>
      <c r="AC171" s="488">
        <f t="shared" si="17"/>
        <v>395685.23759999993</v>
      </c>
      <c r="AD171" s="488">
        <f t="shared" si="17"/>
        <v>369317.55528000003</v>
      </c>
      <c r="AE171" s="488">
        <f t="shared" si="17"/>
        <v>6021936.6689520013</v>
      </c>
      <c r="AF171" s="488">
        <f>SUM(X171:AE171)</f>
        <v>9193150.5475520007</v>
      </c>
      <c r="AH171" s="488">
        <v>9441833.6928719971</v>
      </c>
      <c r="AI171" s="451">
        <f t="shared" si="15"/>
        <v>-248683.1453199964</v>
      </c>
    </row>
    <row r="172" spans="1:35" s="296" customFormat="1" ht="13.9" hidden="1" customHeight="1" outlineLevel="1" thickTop="1" x14ac:dyDescent="0.2">
      <c r="A172" s="421"/>
      <c r="B172" s="490"/>
      <c r="C172" s="473"/>
      <c r="D172" s="474"/>
      <c r="E172" s="475"/>
      <c r="F172" s="472" t="s">
        <v>1014</v>
      </c>
      <c r="G172" s="472"/>
      <c r="H172" s="476"/>
      <c r="I172" s="477"/>
      <c r="J172" s="445"/>
      <c r="K172" s="446"/>
      <c r="L172" s="477"/>
      <c r="M172" s="477"/>
      <c r="N172" s="477"/>
      <c r="O172" s="477"/>
      <c r="P172" s="477"/>
      <c r="Q172" s="477"/>
      <c r="R172" s="477"/>
      <c r="S172" s="477"/>
      <c r="T172" s="448"/>
      <c r="U172" s="478"/>
      <c r="V172" s="478">
        <f>SUM(V170:V171)</f>
        <v>1272852.4049999998</v>
      </c>
      <c r="W172" s="478">
        <f t="shared" ref="W172:AE172" si="18">SUM(W170:W171)</f>
        <v>1438440.273305</v>
      </c>
      <c r="X172" s="479">
        <f t="shared" si="18"/>
        <v>2314116.9220400001</v>
      </c>
      <c r="Y172" s="478">
        <f t="shared" si="18"/>
        <v>2087545.0593600001</v>
      </c>
      <c r="Z172" s="478">
        <f t="shared" si="18"/>
        <v>1994311.7958399998</v>
      </c>
      <c r="AA172" s="478">
        <f t="shared" si="18"/>
        <v>1940303.01456</v>
      </c>
      <c r="AB172" s="478">
        <f t="shared" si="18"/>
        <v>1815777.2939200001</v>
      </c>
      <c r="AC172" s="478">
        <f t="shared" si="18"/>
        <v>1777639.2375999999</v>
      </c>
      <c r="AD172" s="478">
        <f t="shared" si="18"/>
        <v>1717368.55528</v>
      </c>
      <c r="AE172" s="478">
        <f t="shared" si="18"/>
        <v>24030151.668952003</v>
      </c>
      <c r="AF172" s="478">
        <f>SUM(X172:AE172)</f>
        <v>37677213.547552004</v>
      </c>
      <c r="AH172" s="478">
        <v>38113405.692871995</v>
      </c>
      <c r="AI172" s="451">
        <f t="shared" si="15"/>
        <v>-436192.14531999081</v>
      </c>
    </row>
    <row r="173" spans="1:35" s="296" customFormat="1" ht="7.5" hidden="1" customHeight="1" outlineLevel="1" x14ac:dyDescent="0.2">
      <c r="A173" s="421"/>
      <c r="B173" s="467"/>
      <c r="C173" s="422"/>
      <c r="D173" s="423"/>
      <c r="E173" s="468"/>
      <c r="F173" s="434"/>
      <c r="G173" s="434"/>
      <c r="H173" s="469"/>
      <c r="I173" s="320"/>
      <c r="J173" s="469"/>
      <c r="K173" s="320"/>
      <c r="L173" s="320"/>
      <c r="M173" s="320"/>
      <c r="N173" s="320"/>
      <c r="O173" s="320"/>
      <c r="P173" s="320"/>
      <c r="Q173" s="320"/>
      <c r="R173" s="320"/>
      <c r="S173" s="320"/>
      <c r="T173" s="448"/>
      <c r="U173" s="431"/>
      <c r="V173" s="431"/>
      <c r="W173" s="431"/>
      <c r="X173" s="470"/>
      <c r="Y173" s="471"/>
      <c r="Z173" s="471"/>
      <c r="AA173" s="471"/>
      <c r="AB173" s="471"/>
      <c r="AC173" s="471"/>
      <c r="AD173" s="471"/>
      <c r="AE173" s="471"/>
      <c r="AF173" s="471"/>
      <c r="AH173" s="471"/>
      <c r="AI173" s="451">
        <f t="shared" si="15"/>
        <v>0</v>
      </c>
    </row>
    <row r="174" spans="1:35" s="296" customFormat="1" ht="13.9" hidden="1" customHeight="1" outlineLevel="1" x14ac:dyDescent="0.2">
      <c r="A174" s="421"/>
      <c r="B174" s="491" t="s">
        <v>1015</v>
      </c>
      <c r="C174" s="492"/>
      <c r="D174" s="493"/>
      <c r="E174" s="494"/>
      <c r="F174" s="491" t="s">
        <v>1012</v>
      </c>
      <c r="G174" s="491"/>
      <c r="H174" s="495"/>
      <c r="I174" s="496"/>
      <c r="J174" s="445"/>
      <c r="K174" s="446"/>
      <c r="L174" s="496"/>
      <c r="M174" s="496"/>
      <c r="N174" s="496"/>
      <c r="O174" s="496"/>
      <c r="P174" s="496"/>
      <c r="Q174" s="496"/>
      <c r="R174" s="496"/>
      <c r="S174" s="496" t="s">
        <v>693</v>
      </c>
      <c r="T174" s="448"/>
      <c r="U174" s="497">
        <f>SUM(U166,U170)</f>
        <v>1100521.7431783541</v>
      </c>
      <c r="V174" s="497">
        <f t="shared" ref="V174:AF175" si="19">SUM(V166,V170)</f>
        <v>3547054.7031783541</v>
      </c>
      <c r="W174" s="497">
        <f t="shared" si="19"/>
        <v>3124493.5999999996</v>
      </c>
      <c r="X174" s="498">
        <f t="shared" si="19"/>
        <v>3601890.1379218102</v>
      </c>
      <c r="Y174" s="497">
        <f t="shared" si="19"/>
        <v>3391511.8379218103</v>
      </c>
      <c r="Z174" s="497">
        <f t="shared" si="19"/>
        <v>3319624.1679218104</v>
      </c>
      <c r="AA174" s="497">
        <f t="shared" si="19"/>
        <v>3271766.8379218103</v>
      </c>
      <c r="AB174" s="497">
        <f t="shared" si="19"/>
        <v>3129718.8379218103</v>
      </c>
      <c r="AC174" s="497">
        <f t="shared" si="19"/>
        <v>3074603.8379218103</v>
      </c>
      <c r="AD174" s="497">
        <f t="shared" si="19"/>
        <v>3011474.8379218103</v>
      </c>
      <c r="AE174" s="497">
        <f t="shared" si="19"/>
        <v>30955494.718703706</v>
      </c>
      <c r="AF174" s="497">
        <f t="shared" si="19"/>
        <v>53756085.214156374</v>
      </c>
      <c r="AH174" s="497">
        <v>53943594.214156374</v>
      </c>
      <c r="AI174" s="451">
        <f t="shared" si="15"/>
        <v>-187509</v>
      </c>
    </row>
    <row r="175" spans="1:35" s="296" customFormat="1" ht="13.9" hidden="1" customHeight="1" outlineLevel="1" thickBot="1" x14ac:dyDescent="0.25">
      <c r="A175" s="421"/>
      <c r="B175" s="499"/>
      <c r="C175" s="500"/>
      <c r="D175" s="501"/>
      <c r="E175" s="502"/>
      <c r="F175" s="503" t="s">
        <v>1013</v>
      </c>
      <c r="G175" s="504"/>
      <c r="H175" s="505"/>
      <c r="I175" s="506"/>
      <c r="J175" s="460"/>
      <c r="K175" s="461"/>
      <c r="L175" s="506"/>
      <c r="M175" s="506"/>
      <c r="N175" s="506"/>
      <c r="O175" s="506"/>
      <c r="P175" s="506"/>
      <c r="Q175" s="506">
        <f>SUM(Q12:Q170)</f>
        <v>35098858</v>
      </c>
      <c r="R175" s="506">
        <f>SUM(R12:R170)</f>
        <v>34423474</v>
      </c>
      <c r="S175" s="506" t="s">
        <v>695</v>
      </c>
      <c r="T175" s="462"/>
      <c r="U175" s="507">
        <f>SUM(U167,U171)</f>
        <v>269203.59306087194</v>
      </c>
      <c r="V175" s="507">
        <f t="shared" si="19"/>
        <v>533038.9914139777</v>
      </c>
      <c r="W175" s="507">
        <f t="shared" si="19"/>
        <v>593332.50107748352</v>
      </c>
      <c r="X175" s="508">
        <f t="shared" si="19"/>
        <v>1047339.3380284834</v>
      </c>
      <c r="Y175" s="507">
        <f t="shared" si="19"/>
        <v>976496.34090587555</v>
      </c>
      <c r="Z175" s="507">
        <f t="shared" si="19"/>
        <v>910123.0582202673</v>
      </c>
      <c r="AA175" s="507">
        <f t="shared" si="19"/>
        <v>845130.23954495892</v>
      </c>
      <c r="AB175" s="507">
        <f t="shared" si="19"/>
        <v>781073.25986935105</v>
      </c>
      <c r="AC175" s="507">
        <f t="shared" si="19"/>
        <v>719772.95947374264</v>
      </c>
      <c r="AD175" s="507">
        <f t="shared" si="19"/>
        <v>659568.25392813468</v>
      </c>
      <c r="AE175" s="507">
        <f t="shared" si="19"/>
        <v>9482675.406102743</v>
      </c>
      <c r="AF175" s="507">
        <f t="shared" si="19"/>
        <v>15422178.856073556</v>
      </c>
      <c r="AH175" s="507">
        <v>15771241.802867163</v>
      </c>
      <c r="AI175" s="451">
        <f t="shared" si="15"/>
        <v>-349062.9467936065</v>
      </c>
    </row>
    <row r="176" spans="1:35" s="296" customFormat="1" ht="13.9" hidden="1" customHeight="1" outlineLevel="1" thickTop="1" thickBot="1" x14ac:dyDescent="0.25">
      <c r="A176" s="421"/>
      <c r="B176" s="509"/>
      <c r="C176" s="492"/>
      <c r="D176" s="493"/>
      <c r="E176" s="494"/>
      <c r="F176" s="491" t="s">
        <v>1014</v>
      </c>
      <c r="G176" s="491"/>
      <c r="H176" s="495"/>
      <c r="I176" s="496"/>
      <c r="J176" s="445"/>
      <c r="K176" s="446"/>
      <c r="L176" s="496"/>
      <c r="M176" s="496"/>
      <c r="N176" s="496"/>
      <c r="O176" s="496"/>
      <c r="P176" s="496"/>
      <c r="Q176" s="496"/>
      <c r="R176" s="496"/>
      <c r="S176" s="496"/>
      <c r="T176" s="448"/>
      <c r="U176" s="497">
        <f>SUM(U174:U175)</f>
        <v>1369725.3362392262</v>
      </c>
      <c r="V176" s="497">
        <f t="shared" ref="V176:AF176" si="20">SUM(V174:V175)</f>
        <v>4080093.6945923315</v>
      </c>
      <c r="W176" s="497">
        <f t="shared" si="20"/>
        <v>3717826.101077483</v>
      </c>
      <c r="X176" s="510">
        <f t="shared" si="20"/>
        <v>4649229.4759502932</v>
      </c>
      <c r="Y176" s="497">
        <f t="shared" si="20"/>
        <v>4368008.1788276862</v>
      </c>
      <c r="Z176" s="497">
        <f t="shared" si="20"/>
        <v>4229747.2261420777</v>
      </c>
      <c r="AA176" s="497">
        <f t="shared" si="20"/>
        <v>4116897.0774667691</v>
      </c>
      <c r="AB176" s="497">
        <f t="shared" si="20"/>
        <v>3910792.0977911614</v>
      </c>
      <c r="AC176" s="497">
        <f t="shared" si="20"/>
        <v>3794376.797395553</v>
      </c>
      <c r="AD176" s="497">
        <f t="shared" si="20"/>
        <v>3671043.091849945</v>
      </c>
      <c r="AE176" s="497">
        <f t="shared" si="20"/>
        <v>40438170.124806449</v>
      </c>
      <c r="AF176" s="497">
        <f t="shared" si="20"/>
        <v>69178264.070229933</v>
      </c>
      <c r="AH176" s="497">
        <v>69714836.017023534</v>
      </c>
      <c r="AI176" s="451">
        <f t="shared" si="15"/>
        <v>-536571.94679360092</v>
      </c>
    </row>
    <row r="177" spans="1:35" s="296" customFormat="1" ht="11.25" hidden="1" customHeight="1" outlineLevel="1" x14ac:dyDescent="0.2">
      <c r="A177" s="421"/>
      <c r="B177" s="422"/>
      <c r="C177" s="422"/>
      <c r="D177" s="423"/>
      <c r="E177" s="468"/>
      <c r="F177" s="424"/>
      <c r="G177" s="423"/>
      <c r="H177" s="445"/>
      <c r="I177" s="446"/>
      <c r="J177" s="445"/>
      <c r="K177" s="446"/>
      <c r="L177" s="423"/>
      <c r="M177" s="423"/>
      <c r="N177" s="423"/>
      <c r="O177" s="511"/>
      <c r="P177" s="512"/>
      <c r="Q177" s="429"/>
      <c r="R177" s="429"/>
      <c r="S177" s="423"/>
      <c r="T177" s="448"/>
      <c r="U177" s="431"/>
      <c r="V177" s="431"/>
      <c r="W177" s="431"/>
      <c r="X177" s="513"/>
      <c r="Y177" s="513"/>
      <c r="Z177" s="513"/>
      <c r="AA177" s="513"/>
      <c r="AB177" s="513"/>
      <c r="AC177" s="513"/>
      <c r="AD177" s="513"/>
      <c r="AE177" s="431"/>
      <c r="AF177" s="431"/>
      <c r="AG177" s="434"/>
      <c r="AH177" s="278"/>
      <c r="AI177" s="451"/>
    </row>
    <row r="178" spans="1:35" s="296" customFormat="1" ht="11.25" hidden="1" customHeight="1" outlineLevel="1" x14ac:dyDescent="0.2">
      <c r="A178" s="421"/>
      <c r="B178" s="422"/>
      <c r="C178" s="422"/>
      <c r="D178" s="423"/>
      <c r="E178" s="468"/>
      <c r="F178" s="424"/>
      <c r="G178" s="423"/>
      <c r="H178" s="445"/>
      <c r="I178" s="446"/>
      <c r="J178" s="445"/>
      <c r="K178" s="446"/>
      <c r="L178" s="423"/>
      <c r="M178" s="423"/>
      <c r="N178" s="423"/>
      <c r="O178" s="511"/>
      <c r="P178" s="512"/>
      <c r="Q178" s="429"/>
      <c r="R178" s="429"/>
      <c r="S178" s="423"/>
      <c r="T178" s="448"/>
      <c r="U178" s="431"/>
      <c r="V178" s="431"/>
      <c r="W178" s="431"/>
      <c r="X178" s="514">
        <f>X167/X166</f>
        <v>0.27482019790414591</v>
      </c>
      <c r="Y178" s="514">
        <f t="shared" ref="Y178:AE178" si="21">Y167/Y166</f>
        <v>0.2573763904203939</v>
      </c>
      <c r="Z178" s="514">
        <f t="shared" si="21"/>
        <v>0.23853139457836284</v>
      </c>
      <c r="AA178" s="514">
        <f t="shared" si="21"/>
        <v>0.22132439409548535</v>
      </c>
      <c r="AB178" s="514">
        <f t="shared" si="21"/>
        <v>0.20665643335868633</v>
      </c>
      <c r="AC178" s="514">
        <f t="shared" si="21"/>
        <v>0.19146767075678733</v>
      </c>
      <c r="AD178" s="514">
        <f t="shared" si="21"/>
        <v>0.17448992375314146</v>
      </c>
      <c r="AE178" s="514">
        <f t="shared" si="21"/>
        <v>0.26729466052636069</v>
      </c>
      <c r="AF178" s="431"/>
      <c r="AG178" s="434"/>
      <c r="AH178" s="278"/>
      <c r="AI178" s="515"/>
    </row>
    <row r="179" spans="1:35" s="296" customFormat="1" ht="14.25" collapsed="1" thickBot="1" x14ac:dyDescent="0.3">
      <c r="A179" s="228" t="s">
        <v>1016</v>
      </c>
      <c r="B179" s="422"/>
      <c r="C179" s="422"/>
      <c r="D179" s="423"/>
      <c r="E179" s="468"/>
      <c r="F179" s="424"/>
      <c r="G179" s="423"/>
      <c r="H179" s="445"/>
      <c r="I179" s="446"/>
      <c r="J179" s="445"/>
      <c r="K179" s="446"/>
      <c r="L179" s="423"/>
      <c r="M179" s="423"/>
      <c r="N179" s="423"/>
      <c r="O179" s="511"/>
      <c r="P179" s="512"/>
      <c r="Q179" s="429"/>
      <c r="R179" s="429"/>
      <c r="S179" s="423"/>
      <c r="T179" s="448"/>
      <c r="U179" s="431"/>
      <c r="V179" s="431"/>
      <c r="W179" s="431"/>
      <c r="X179" s="514">
        <f>X171/X170</f>
        <v>0.30728439345125413</v>
      </c>
      <c r="Y179" s="514">
        <f t="shared" ref="Y179:AE179" si="22">Y171/Y170</f>
        <v>0.32303640877044881</v>
      </c>
      <c r="Z179" s="514">
        <f t="shared" si="22"/>
        <v>0.31662423572471665</v>
      </c>
      <c r="AA179" s="514">
        <f t="shared" si="22"/>
        <v>0.30255947508337766</v>
      </c>
      <c r="AB179" s="514">
        <f t="shared" si="22"/>
        <v>0.30302983982823162</v>
      </c>
      <c r="AC179" s="514">
        <f t="shared" si="22"/>
        <v>0.28632301625090267</v>
      </c>
      <c r="AD179" s="514">
        <f t="shared" si="22"/>
        <v>0.27396408242714854</v>
      </c>
      <c r="AE179" s="514">
        <f t="shared" si="22"/>
        <v>0.3343994209838122</v>
      </c>
      <c r="AF179" s="431"/>
      <c r="AG179" s="434"/>
      <c r="AH179" s="278"/>
    </row>
    <row r="180" spans="1:35" s="257" customFormat="1" ht="52.5" customHeight="1" thickBot="1" x14ac:dyDescent="0.25">
      <c r="A180" s="662" t="s">
        <v>1017</v>
      </c>
      <c r="B180" s="663"/>
      <c r="C180" s="241" t="s">
        <v>658</v>
      </c>
      <c r="D180" s="242" t="s">
        <v>659</v>
      </c>
      <c r="E180" s="243" t="s">
        <v>660</v>
      </c>
      <c r="F180" s="242" t="s">
        <v>660</v>
      </c>
      <c r="G180" s="242" t="s">
        <v>661</v>
      </c>
      <c r="H180" s="244" t="s">
        <v>662</v>
      </c>
      <c r="I180" s="245" t="s">
        <v>663</v>
      </c>
      <c r="J180" s="244" t="s">
        <v>664</v>
      </c>
      <c r="K180" s="245" t="s">
        <v>665</v>
      </c>
      <c r="L180" s="240" t="s">
        <v>1018</v>
      </c>
      <c r="M180" s="240" t="s">
        <v>667</v>
      </c>
      <c r="N180" s="240" t="s">
        <v>668</v>
      </c>
      <c r="O180" s="246" t="s">
        <v>669</v>
      </c>
      <c r="P180" s="247" t="s">
        <v>670</v>
      </c>
      <c r="Q180" s="248" t="s">
        <v>671</v>
      </c>
      <c r="R180" s="248" t="s">
        <v>672</v>
      </c>
      <c r="S180" s="250" t="s">
        <v>673</v>
      </c>
      <c r="T180" s="516"/>
      <c r="U180" s="254" t="s">
        <v>675</v>
      </c>
      <c r="V180" s="254" t="s">
        <v>676</v>
      </c>
      <c r="W180" s="254" t="s">
        <v>677</v>
      </c>
      <c r="X180" s="248" t="s">
        <v>678</v>
      </c>
      <c r="Y180" s="248" t="s">
        <v>679</v>
      </c>
      <c r="Z180" s="248" t="s">
        <v>680</v>
      </c>
      <c r="AA180" s="248" t="s">
        <v>681</v>
      </c>
      <c r="AB180" s="248" t="s">
        <v>682</v>
      </c>
      <c r="AC180" s="248" t="s">
        <v>683</v>
      </c>
      <c r="AD180" s="248" t="s">
        <v>684</v>
      </c>
      <c r="AE180" s="248" t="s">
        <v>685</v>
      </c>
      <c r="AF180" s="248" t="s">
        <v>686</v>
      </c>
      <c r="AG180" s="255"/>
      <c r="AH180" s="278"/>
    </row>
    <row r="181" spans="1:35" s="296" customFormat="1" ht="9" customHeight="1" thickBot="1" x14ac:dyDescent="0.25">
      <c r="A181" s="517"/>
      <c r="B181" s="518"/>
      <c r="C181" s="518"/>
      <c r="D181" s="519"/>
      <c r="E181" s="520"/>
      <c r="F181" s="521"/>
      <c r="G181" s="519"/>
      <c r="H181" s="522"/>
      <c r="I181" s="523"/>
      <c r="J181" s="522"/>
      <c r="K181" s="523"/>
      <c r="L181" s="519"/>
      <c r="M181" s="519"/>
      <c r="N181" s="519"/>
      <c r="O181" s="524"/>
      <c r="P181" s="525"/>
      <c r="Q181" s="526"/>
      <c r="R181" s="526"/>
      <c r="S181" s="519"/>
      <c r="T181" s="527"/>
      <c r="U181" s="528"/>
      <c r="V181" s="528"/>
      <c r="W181" s="528"/>
      <c r="X181" s="528"/>
      <c r="Y181" s="528"/>
      <c r="Z181" s="528"/>
      <c r="AA181" s="528"/>
      <c r="AB181" s="528"/>
      <c r="AC181" s="528"/>
      <c r="AD181" s="528"/>
      <c r="AE181" s="528"/>
      <c r="AF181" s="528"/>
      <c r="AG181" s="434"/>
      <c r="AH181" s="278"/>
    </row>
    <row r="182" spans="1:35" s="279" customFormat="1" x14ac:dyDescent="0.2">
      <c r="A182" s="529">
        <v>1</v>
      </c>
      <c r="B182" s="530" t="s">
        <v>1019</v>
      </c>
      <c r="C182" s="531"/>
      <c r="D182" s="299"/>
      <c r="E182" s="532"/>
      <c r="F182" s="381" t="s">
        <v>1020</v>
      </c>
      <c r="G182" s="300" t="s">
        <v>1021</v>
      </c>
      <c r="H182" s="533">
        <v>110000</v>
      </c>
      <c r="I182" s="534">
        <v>129553</v>
      </c>
      <c r="J182" s="533"/>
      <c r="K182" s="305"/>
      <c r="L182" s="369">
        <f>0.101%+$L$7</f>
        <v>1.7590000000000001E-2</v>
      </c>
      <c r="M182" s="268">
        <v>2.5000000000000001E-3</v>
      </c>
      <c r="N182" s="303">
        <v>5</v>
      </c>
      <c r="O182" s="535"/>
      <c r="P182" s="536"/>
      <c r="Q182" s="272"/>
      <c r="R182" s="272"/>
      <c r="S182" s="306" t="s">
        <v>693</v>
      </c>
      <c r="T182" s="307"/>
      <c r="U182" s="308">
        <v>8936</v>
      </c>
      <c r="V182" s="308">
        <v>8936</v>
      </c>
      <c r="W182" s="308">
        <v>8936</v>
      </c>
      <c r="X182" s="308">
        <v>8936</v>
      </c>
      <c r="Y182" s="308">
        <v>8936</v>
      </c>
      <c r="Z182" s="308">
        <v>8936</v>
      </c>
      <c r="AA182" s="308">
        <v>8936</v>
      </c>
      <c r="AB182" s="308">
        <v>8936</v>
      </c>
      <c r="AC182" s="308">
        <v>8936</v>
      </c>
      <c r="AD182" s="308">
        <v>8936</v>
      </c>
      <c r="AE182" s="308">
        <v>29042</v>
      </c>
      <c r="AF182" s="308">
        <f>SUM(X182:AE182)</f>
        <v>91594</v>
      </c>
      <c r="AG182" s="422"/>
      <c r="AH182" s="278"/>
    </row>
    <row r="183" spans="1:35" s="296" customFormat="1" ht="11.45" customHeight="1" thickBot="1" x14ac:dyDescent="0.25">
      <c r="A183" s="537"/>
      <c r="B183" s="538"/>
      <c r="C183" s="406"/>
      <c r="D183" s="282"/>
      <c r="E183" s="283"/>
      <c r="F183" s="284"/>
      <c r="G183" s="285"/>
      <c r="H183" s="539"/>
      <c r="I183" s="540"/>
      <c r="J183" s="539"/>
      <c r="K183" s="540"/>
      <c r="L183" s="282"/>
      <c r="M183" s="282"/>
      <c r="N183" s="282"/>
      <c r="O183" s="541"/>
      <c r="P183" s="542"/>
      <c r="Q183" s="311"/>
      <c r="R183" s="311"/>
      <c r="S183" s="292" t="s">
        <v>695</v>
      </c>
      <c r="T183" s="293"/>
      <c r="U183" s="376">
        <v>385.27866</v>
      </c>
      <c r="V183" s="376">
        <v>353.91329999999999</v>
      </c>
      <c r="W183" s="376">
        <v>1659.7502999999999</v>
      </c>
      <c r="X183" s="376">
        <f>((SUM(X182:$AE182))*($L182+$M182))</f>
        <v>1840.12346</v>
      </c>
      <c r="Y183" s="376">
        <f>((SUM(Y182:$AE182))*($L182+$M182))</f>
        <v>1660.5992200000001</v>
      </c>
      <c r="Z183" s="376">
        <f>((SUM(Z182:$AE182))*($L182+$M182))</f>
        <v>1481.0749800000001</v>
      </c>
      <c r="AA183" s="376">
        <f>((SUM(AA182:$AE182))*($L182+$M182))</f>
        <v>1301.5507399999999</v>
      </c>
      <c r="AB183" s="376">
        <f>((SUM(AB182:$AE182))*($L182+$M182))</f>
        <v>1122.0264999999999</v>
      </c>
      <c r="AC183" s="376">
        <f>((SUM(AC182:$AE182))*($L182+$M182))</f>
        <v>942.50225999999998</v>
      </c>
      <c r="AD183" s="376">
        <f>((SUM(AD182:$AE182))*($L182+$M182))</f>
        <v>762.97802000000001</v>
      </c>
      <c r="AE183" s="376">
        <f>((SUM(AE182:$AE182))*($L182+$M182))*3</f>
        <v>1750.3613400000002</v>
      </c>
      <c r="AF183" s="376">
        <f>SUM(X183:AE183)</f>
        <v>10861.21652</v>
      </c>
      <c r="AG183" s="434"/>
      <c r="AH183" s="278"/>
    </row>
    <row r="184" spans="1:35" s="279" customFormat="1" x14ac:dyDescent="0.2">
      <c r="A184" s="543">
        <v>2</v>
      </c>
      <c r="B184" s="530" t="s">
        <v>1022</v>
      </c>
      <c r="C184" s="531"/>
      <c r="D184" s="299"/>
      <c r="E184" s="532"/>
      <c r="F184" s="381" t="s">
        <v>1023</v>
      </c>
      <c r="G184" s="300" t="s">
        <v>1024</v>
      </c>
      <c r="H184" s="533">
        <v>110000</v>
      </c>
      <c r="I184" s="534">
        <v>44681</v>
      </c>
      <c r="J184" s="533">
        <v>110000</v>
      </c>
      <c r="K184" s="305"/>
      <c r="L184" s="369">
        <v>3.5599999999999998E-3</v>
      </c>
      <c r="M184" s="268">
        <v>5.0000000000000001E-3</v>
      </c>
      <c r="N184" s="269">
        <v>4</v>
      </c>
      <c r="O184" s="535"/>
      <c r="P184" s="536"/>
      <c r="Q184" s="361"/>
      <c r="R184" s="361"/>
      <c r="S184" s="306" t="s">
        <v>693</v>
      </c>
      <c r="T184" s="307"/>
      <c r="U184" s="308">
        <v>14127.05</v>
      </c>
      <c r="V184" s="308">
        <v>5510.5199999999995</v>
      </c>
      <c r="W184" s="308">
        <v>5510.5199999999995</v>
      </c>
      <c r="X184" s="308">
        <f>498*12</f>
        <v>5976</v>
      </c>
      <c r="Y184" s="308">
        <f>498*12</f>
        <v>5976</v>
      </c>
      <c r="Z184" s="364">
        <v>446.95</v>
      </c>
      <c r="AA184" s="544">
        <v>0</v>
      </c>
      <c r="AB184" s="544">
        <v>0</v>
      </c>
      <c r="AC184" s="544">
        <v>0</v>
      </c>
      <c r="AD184" s="544">
        <v>0</v>
      </c>
      <c r="AE184" s="544">
        <v>0</v>
      </c>
      <c r="AF184" s="544">
        <f t="shared" ref="AF184:AF193" si="23">SUM(X184:AE184)</f>
        <v>12398.95</v>
      </c>
      <c r="AG184" s="422"/>
      <c r="AH184" s="278"/>
    </row>
    <row r="185" spans="1:35" s="296" customFormat="1" ht="13.5" thickBot="1" x14ac:dyDescent="0.25">
      <c r="A185" s="537"/>
      <c r="B185" s="538" t="s">
        <v>1025</v>
      </c>
      <c r="C185" s="406"/>
      <c r="D185" s="282"/>
      <c r="E185" s="283"/>
      <c r="F185" s="284"/>
      <c r="G185" s="285"/>
      <c r="H185" s="539"/>
      <c r="I185" s="540"/>
      <c r="J185" s="539"/>
      <c r="K185" s="540"/>
      <c r="L185" s="282"/>
      <c r="M185" s="282"/>
      <c r="N185" s="282"/>
      <c r="O185" s="541"/>
      <c r="P185" s="542"/>
      <c r="Q185" s="311"/>
      <c r="R185" s="311"/>
      <c r="S185" s="292" t="s">
        <v>695</v>
      </c>
      <c r="T185" s="293"/>
      <c r="U185" s="376"/>
      <c r="V185" s="376"/>
      <c r="W185" s="376"/>
      <c r="X185" s="376"/>
      <c r="Y185" s="376"/>
      <c r="Z185" s="376"/>
      <c r="AA185" s="376"/>
      <c r="AB185" s="376"/>
      <c r="AC185" s="376"/>
      <c r="AD185" s="376"/>
      <c r="AE185" s="376"/>
      <c r="AF185" s="376">
        <f t="shared" si="23"/>
        <v>0</v>
      </c>
      <c r="AG185" s="434"/>
      <c r="AH185" s="278"/>
    </row>
    <row r="186" spans="1:35" s="279" customFormat="1" x14ac:dyDescent="0.2">
      <c r="A186" s="543">
        <v>3</v>
      </c>
      <c r="B186" s="530" t="s">
        <v>1026</v>
      </c>
      <c r="C186" s="531"/>
      <c r="D186" s="299"/>
      <c r="E186" s="532"/>
      <c r="F186" s="381" t="s">
        <v>1027</v>
      </c>
      <c r="G186" s="300" t="s">
        <v>1028</v>
      </c>
      <c r="H186" s="533">
        <v>110000</v>
      </c>
      <c r="I186" s="534">
        <v>82111</v>
      </c>
      <c r="J186" s="533">
        <v>110000</v>
      </c>
      <c r="K186" s="305"/>
      <c r="L186" s="369">
        <v>3.5599999999999998E-3</v>
      </c>
      <c r="M186" s="268">
        <v>5.0000000000000001E-3</v>
      </c>
      <c r="N186" s="269">
        <v>4</v>
      </c>
      <c r="O186" s="535"/>
      <c r="P186" s="536"/>
      <c r="Q186" s="361"/>
      <c r="R186" s="361"/>
      <c r="S186" s="306" t="s">
        <v>693</v>
      </c>
      <c r="T186" s="307"/>
      <c r="U186" s="308">
        <v>7278.62</v>
      </c>
      <c r="V186" s="308">
        <v>15204.36</v>
      </c>
      <c r="W186" s="308">
        <v>15204.36</v>
      </c>
      <c r="X186" s="308">
        <v>15204.36</v>
      </c>
      <c r="Y186" s="308">
        <v>15204.36</v>
      </c>
      <c r="Z186" s="364">
        <v>13937.16</v>
      </c>
      <c r="AA186" s="544">
        <v>0</v>
      </c>
      <c r="AB186" s="544">
        <v>0</v>
      </c>
      <c r="AC186" s="544">
        <v>0</v>
      </c>
      <c r="AD186" s="544">
        <v>0</v>
      </c>
      <c r="AE186" s="544">
        <v>0</v>
      </c>
      <c r="AF186" s="544">
        <f t="shared" si="23"/>
        <v>44345.880000000005</v>
      </c>
      <c r="AG186" s="422"/>
      <c r="AH186" s="278"/>
    </row>
    <row r="187" spans="1:35" s="296" customFormat="1" ht="13.5" thickBot="1" x14ac:dyDescent="0.25">
      <c r="A187" s="537"/>
      <c r="B187" s="538"/>
      <c r="C187" s="406"/>
      <c r="D187" s="282"/>
      <c r="E187" s="283"/>
      <c r="F187" s="284"/>
      <c r="G187" s="285"/>
      <c r="H187" s="539"/>
      <c r="I187" s="540"/>
      <c r="J187" s="539"/>
      <c r="K187" s="540"/>
      <c r="L187" s="282"/>
      <c r="M187" s="282"/>
      <c r="N187" s="282"/>
      <c r="O187" s="541"/>
      <c r="P187" s="542"/>
      <c r="Q187" s="311"/>
      <c r="R187" s="311"/>
      <c r="S187" s="292" t="s">
        <v>695</v>
      </c>
      <c r="T187" s="293"/>
      <c r="U187" s="376"/>
      <c r="V187" s="376"/>
      <c r="W187" s="376"/>
      <c r="X187" s="376"/>
      <c r="Y187" s="376"/>
      <c r="Z187" s="376"/>
      <c r="AA187" s="376"/>
      <c r="AB187" s="376"/>
      <c r="AC187" s="376"/>
      <c r="AD187" s="376"/>
      <c r="AE187" s="376"/>
      <c r="AF187" s="376">
        <f t="shared" si="23"/>
        <v>0</v>
      </c>
      <c r="AG187" s="434"/>
      <c r="AH187" s="278"/>
    </row>
    <row r="188" spans="1:35" s="279" customFormat="1" x14ac:dyDescent="0.2">
      <c r="A188" s="543">
        <v>4</v>
      </c>
      <c r="B188" s="530" t="s">
        <v>1029</v>
      </c>
      <c r="C188" s="531"/>
      <c r="D188" s="299"/>
      <c r="E188" s="532"/>
      <c r="F188" s="381" t="s">
        <v>1030</v>
      </c>
      <c r="G188" s="300" t="s">
        <v>1031</v>
      </c>
      <c r="H188" s="301">
        <v>110000</v>
      </c>
      <c r="I188" s="534">
        <v>33649.81</v>
      </c>
      <c r="J188" s="533">
        <v>110000</v>
      </c>
      <c r="K188" s="305"/>
      <c r="L188" s="369">
        <v>3.5599999999999998E-3</v>
      </c>
      <c r="M188" s="268">
        <v>5.0000000000000001E-3</v>
      </c>
      <c r="N188" s="269">
        <v>4</v>
      </c>
      <c r="O188" s="535"/>
      <c r="P188" s="536"/>
      <c r="Q188" s="361"/>
      <c r="R188" s="361"/>
      <c r="S188" s="306" t="s">
        <v>693</v>
      </c>
      <c r="T188" s="307"/>
      <c r="U188" s="308"/>
      <c r="V188" s="308">
        <v>12000</v>
      </c>
      <c r="W188" s="308">
        <v>7000</v>
      </c>
      <c r="X188" s="308">
        <f>702*12</f>
        <v>8424</v>
      </c>
      <c r="Y188" s="308">
        <f>702*12</f>
        <v>8424</v>
      </c>
      <c r="Z188" s="308">
        <f>702*4</f>
        <v>2808</v>
      </c>
      <c r="AA188" s="308">
        <v>0</v>
      </c>
      <c r="AB188" s="308">
        <v>0</v>
      </c>
      <c r="AC188" s="308">
        <v>0</v>
      </c>
      <c r="AD188" s="308">
        <v>0</v>
      </c>
      <c r="AE188" s="308">
        <v>0</v>
      </c>
      <c r="AF188" s="308">
        <f t="shared" si="23"/>
        <v>19656</v>
      </c>
      <c r="AG188" s="545"/>
      <c r="AH188" s="278"/>
    </row>
    <row r="189" spans="1:35" s="296" customFormat="1" ht="13.5" thickBot="1" x14ac:dyDescent="0.25">
      <c r="A189" s="537"/>
      <c r="B189" s="538"/>
      <c r="C189" s="406"/>
      <c r="D189" s="282"/>
      <c r="E189" s="283"/>
      <c r="F189" s="284"/>
      <c r="G189" s="285"/>
      <c r="H189" s="539"/>
      <c r="I189" s="540"/>
      <c r="J189" s="539"/>
      <c r="K189" s="540"/>
      <c r="L189" s="282"/>
      <c r="M189" s="282"/>
      <c r="N189" s="282"/>
      <c r="O189" s="541"/>
      <c r="P189" s="542"/>
      <c r="Q189" s="311"/>
      <c r="R189" s="311"/>
      <c r="S189" s="292" t="s">
        <v>695</v>
      </c>
      <c r="T189" s="293"/>
      <c r="U189" s="376"/>
      <c r="V189" s="376"/>
      <c r="W189" s="376"/>
      <c r="X189" s="376"/>
      <c r="Y189" s="376"/>
      <c r="Z189" s="376"/>
      <c r="AA189" s="376"/>
      <c r="AB189" s="376"/>
      <c r="AC189" s="376"/>
      <c r="AD189" s="376"/>
      <c r="AE189" s="376"/>
      <c r="AF189" s="376">
        <f t="shared" si="23"/>
        <v>0</v>
      </c>
      <c r="AG189" s="434"/>
      <c r="AH189" s="278"/>
    </row>
    <row r="190" spans="1:35" s="279" customFormat="1" outlineLevel="1" x14ac:dyDescent="0.2">
      <c r="A190" s="543">
        <v>5</v>
      </c>
      <c r="B190" s="530" t="s">
        <v>1019</v>
      </c>
      <c r="C190" s="531"/>
      <c r="D190" s="299"/>
      <c r="E190" s="381"/>
      <c r="F190" s="381" t="s">
        <v>1032</v>
      </c>
      <c r="G190" s="300" t="s">
        <v>1033</v>
      </c>
      <c r="H190" s="301"/>
      <c r="I190" s="534">
        <v>2209678</v>
      </c>
      <c r="J190" s="301">
        <v>110000</v>
      </c>
      <c r="K190" s="305"/>
      <c r="L190" s="369">
        <v>2.758E-2</v>
      </c>
      <c r="M190" s="268">
        <v>2.5000000000000001E-3</v>
      </c>
      <c r="N190" s="269">
        <v>4</v>
      </c>
      <c r="O190" s="546"/>
      <c r="P190" s="547"/>
      <c r="Q190" s="361"/>
      <c r="R190" s="361"/>
      <c r="S190" s="306" t="s">
        <v>693</v>
      </c>
      <c r="T190" s="308"/>
      <c r="U190" s="308"/>
      <c r="V190" s="308">
        <v>0</v>
      </c>
      <c r="W190" s="308">
        <v>0</v>
      </c>
      <c r="X190" s="308">
        <v>0</v>
      </c>
      <c r="Y190" s="308"/>
      <c r="Z190" s="308">
        <f>6799*10</f>
        <v>67990</v>
      </c>
      <c r="AA190" s="308">
        <f>6799*12</f>
        <v>81588</v>
      </c>
      <c r="AB190" s="308">
        <f t="shared" ref="AB190:AD190" si="24">6799*12</f>
        <v>81588</v>
      </c>
      <c r="AC190" s="308">
        <f t="shared" si="24"/>
        <v>81588</v>
      </c>
      <c r="AD190" s="308">
        <f t="shared" si="24"/>
        <v>81588</v>
      </c>
      <c r="AE190" s="308">
        <f>$I$190-SUM($Z$190:$AC$190)</f>
        <v>1896924</v>
      </c>
      <c r="AF190" s="308">
        <f t="shared" si="23"/>
        <v>2291266</v>
      </c>
      <c r="AG190" s="422"/>
      <c r="AH190" s="278"/>
    </row>
    <row r="191" spans="1:35" s="296" customFormat="1" ht="13.5" outlineLevel="1" thickBot="1" x14ac:dyDescent="0.25">
      <c r="A191" s="537"/>
      <c r="B191" s="538"/>
      <c r="C191" s="406"/>
      <c r="D191" s="282"/>
      <c r="E191" s="284"/>
      <c r="F191" s="284"/>
      <c r="G191" s="285"/>
      <c r="H191" s="548"/>
      <c r="I191" s="540"/>
      <c r="J191" s="548"/>
      <c r="K191" s="540"/>
      <c r="L191" s="282"/>
      <c r="M191" s="282"/>
      <c r="N191" s="282"/>
      <c r="O191" s="549"/>
      <c r="P191" s="540"/>
      <c r="Q191" s="311"/>
      <c r="R191" s="311"/>
      <c r="S191" s="292" t="s">
        <v>695</v>
      </c>
      <c r="T191" s="376"/>
      <c r="U191" s="376"/>
      <c r="V191" s="376"/>
      <c r="W191" s="376">
        <v>37973</v>
      </c>
      <c r="X191" s="376">
        <f>((SUM(X190:$AE190))*($L190+$M190))+175-22889</f>
        <v>46207.281279999996</v>
      </c>
      <c r="Y191" s="376">
        <f>((SUM(Y190:$AE190))*($L190+$M190))</f>
        <v>68921.281279999996</v>
      </c>
      <c r="Z191" s="376">
        <f>((SUM(Z190:$AE190))*($L190+$M190))</f>
        <v>68921.281279999996</v>
      </c>
      <c r="AA191" s="376">
        <f>((SUM(AA190:$AE190))*($L190+$M190))</f>
        <v>66876.142080000005</v>
      </c>
      <c r="AB191" s="376">
        <f>((SUM(AB190:$AE190))*($L190+$M190))</f>
        <v>64421.975039999998</v>
      </c>
      <c r="AC191" s="376">
        <f>((SUM(AC190:$AE190))*($L190+$M190))</f>
        <v>61967.807999999997</v>
      </c>
      <c r="AD191" s="376">
        <f>((SUM(AD190:$AE190))*($L190+$M190))</f>
        <v>59513.640959999997</v>
      </c>
      <c r="AE191" s="376">
        <f>((SUM(AE190:$AE190))*($L190+$M190))*21</f>
        <v>1198248.9523199999</v>
      </c>
      <c r="AF191" s="376">
        <f t="shared" si="23"/>
        <v>1635078.3622399999</v>
      </c>
      <c r="AG191" s="550"/>
      <c r="AH191" s="278"/>
    </row>
    <row r="192" spans="1:35" s="279" customFormat="1" outlineLevel="1" x14ac:dyDescent="0.2">
      <c r="A192" s="543">
        <v>6</v>
      </c>
      <c r="B192" s="530" t="s">
        <v>1034</v>
      </c>
      <c r="C192" s="531"/>
      <c r="D192" s="299"/>
      <c r="E192" s="381"/>
      <c r="F192" s="381" t="s">
        <v>1035</v>
      </c>
      <c r="G192" s="300">
        <v>46904</v>
      </c>
      <c r="H192" s="301"/>
      <c r="I192" s="534">
        <v>134432.07999999999</v>
      </c>
      <c r="J192" s="301">
        <v>110000</v>
      </c>
      <c r="K192" s="305"/>
      <c r="L192" s="369">
        <v>2.758E-2</v>
      </c>
      <c r="M192" s="268">
        <v>2.5000000000000001E-3</v>
      </c>
      <c r="N192" s="269">
        <v>4</v>
      </c>
      <c r="O192" s="546"/>
      <c r="P192" s="547"/>
      <c r="Q192" s="361"/>
      <c r="R192" s="361"/>
      <c r="S192" s="306" t="s">
        <v>693</v>
      </c>
      <c r="T192" s="308"/>
      <c r="U192" s="308"/>
      <c r="V192" s="308">
        <v>0</v>
      </c>
      <c r="W192" s="308">
        <v>0</v>
      </c>
      <c r="X192" s="308">
        <v>27121</v>
      </c>
      <c r="Y192" s="308">
        <f>2025*12</f>
        <v>24300</v>
      </c>
      <c r="Z192" s="308">
        <f t="shared" ref="Z192:AB192" si="25">2025*12</f>
        <v>24300</v>
      </c>
      <c r="AA192" s="308">
        <f t="shared" si="25"/>
        <v>24300</v>
      </c>
      <c r="AB192" s="308">
        <f t="shared" si="25"/>
        <v>24300</v>
      </c>
      <c r="AC192" s="308">
        <f>2025*5</f>
        <v>10125</v>
      </c>
      <c r="AD192" s="308"/>
      <c r="AE192" s="308"/>
      <c r="AF192" s="308">
        <f t="shared" si="23"/>
        <v>134446</v>
      </c>
      <c r="AG192" s="422"/>
      <c r="AH192" s="278"/>
    </row>
    <row r="193" spans="1:34" s="296" customFormat="1" ht="13.5" outlineLevel="1" thickBot="1" x14ac:dyDescent="0.25">
      <c r="A193" s="537"/>
      <c r="B193" s="538"/>
      <c r="C193" s="406"/>
      <c r="D193" s="282"/>
      <c r="E193" s="284"/>
      <c r="F193" s="284"/>
      <c r="G193" s="285"/>
      <c r="H193" s="548"/>
      <c r="I193" s="540"/>
      <c r="J193" s="548"/>
      <c r="K193" s="540"/>
      <c r="L193" s="282"/>
      <c r="M193" s="282"/>
      <c r="N193" s="282"/>
      <c r="O193" s="549"/>
      <c r="P193" s="540"/>
      <c r="Q193" s="311"/>
      <c r="R193" s="311"/>
      <c r="S193" s="292" t="s">
        <v>695</v>
      </c>
      <c r="T193" s="376"/>
      <c r="U193" s="376"/>
      <c r="V193" s="376"/>
      <c r="W193" s="376">
        <v>37973</v>
      </c>
      <c r="X193" s="376"/>
      <c r="Y193" s="376"/>
      <c r="Z193" s="376"/>
      <c r="AA193" s="376"/>
      <c r="AB193" s="376"/>
      <c r="AC193" s="376"/>
      <c r="AD193" s="376"/>
      <c r="AE193" s="376"/>
      <c r="AF193" s="376">
        <f t="shared" si="23"/>
        <v>0</v>
      </c>
      <c r="AG193" s="550"/>
      <c r="AH193" s="278"/>
    </row>
    <row r="194" spans="1:34" s="296" customFormat="1" outlineLevel="1" x14ac:dyDescent="0.2">
      <c r="A194" s="421"/>
      <c r="B194" s="434"/>
      <c r="C194" s="434"/>
      <c r="D194" s="551"/>
      <c r="E194" s="430"/>
      <c r="F194" s="430"/>
      <c r="G194" s="551"/>
      <c r="H194" s="552"/>
      <c r="I194" s="426"/>
      <c r="J194" s="552"/>
      <c r="K194" s="426"/>
      <c r="L194" s="551"/>
      <c r="M194" s="551"/>
      <c r="N194" s="551"/>
      <c r="O194" s="553"/>
      <c r="P194" s="426"/>
      <c r="Q194" s="429"/>
      <c r="R194" s="429"/>
      <c r="S194" s="430" t="s">
        <v>1036</v>
      </c>
      <c r="T194" s="431"/>
      <c r="U194" s="431"/>
      <c r="V194" s="431">
        <f>SUM(V182:V191)</f>
        <v>42004.793300000005</v>
      </c>
      <c r="W194" s="431">
        <f>SUM(W182:W191)</f>
        <v>76283.630300000004</v>
      </c>
      <c r="X194" s="554">
        <f>SUM(X182:X193)</f>
        <v>113708.76474</v>
      </c>
      <c r="Y194" s="554">
        <f>SUM(Y182:Y193)</f>
        <v>133422.24050000001</v>
      </c>
      <c r="Z194" s="554">
        <f t="shared" ref="Z194:AF194" si="26">SUM(Z182:Z193)</f>
        <v>188820.46625999999</v>
      </c>
      <c r="AA194" s="554">
        <f t="shared" si="26"/>
        <v>183001.69282</v>
      </c>
      <c r="AB194" s="554">
        <f t="shared" si="26"/>
        <v>180368.00154</v>
      </c>
      <c r="AC194" s="554">
        <f t="shared" si="26"/>
        <v>163559.31026</v>
      </c>
      <c r="AD194" s="554">
        <f t="shared" si="26"/>
        <v>150800.61898</v>
      </c>
      <c r="AE194" s="554">
        <f t="shared" si="26"/>
        <v>3125965.31366</v>
      </c>
      <c r="AF194" s="554">
        <f t="shared" si="26"/>
        <v>4239646.40876</v>
      </c>
      <c r="AG194" s="434"/>
      <c r="AH194" s="422"/>
    </row>
    <row r="195" spans="1:34" s="279" customFormat="1" ht="13.5" thickBot="1" x14ac:dyDescent="0.25">
      <c r="A195" s="421"/>
      <c r="B195" s="422"/>
      <c r="C195" s="422"/>
      <c r="D195" s="422"/>
      <c r="E195" s="468"/>
      <c r="F195" s="424"/>
      <c r="G195" s="422"/>
      <c r="H195" s="555"/>
      <c r="I195" s="556"/>
      <c r="J195" s="555"/>
      <c r="K195" s="556"/>
      <c r="L195" s="422"/>
      <c r="M195" s="422"/>
      <c r="N195" s="422"/>
      <c r="O195" s="557"/>
      <c r="P195" s="558"/>
      <c r="Q195" s="278"/>
      <c r="R195" s="278"/>
      <c r="S195" s="422"/>
      <c r="T195" s="559"/>
      <c r="U195" s="434"/>
      <c r="V195" s="434"/>
      <c r="W195" s="434"/>
      <c r="X195" s="434"/>
      <c r="Y195" s="434"/>
      <c r="Z195" s="434"/>
      <c r="AA195" s="434"/>
      <c r="AB195" s="434"/>
      <c r="AC195" s="434"/>
      <c r="AD195" s="560"/>
      <c r="AE195" s="560"/>
      <c r="AF195" s="560"/>
      <c r="AG195" s="422"/>
      <c r="AH195" s="422"/>
    </row>
    <row r="196" spans="1:34" s="279" customFormat="1" ht="13.5" thickBot="1" x14ac:dyDescent="0.25">
      <c r="A196" s="561"/>
      <c r="B196" s="562" t="s">
        <v>1037</v>
      </c>
      <c r="C196" s="562"/>
      <c r="D196" s="563"/>
      <c r="E196" s="564"/>
      <c r="F196" s="565"/>
      <c r="G196" s="566" t="s">
        <v>1038</v>
      </c>
      <c r="H196" s="567"/>
      <c r="I196" s="568"/>
      <c r="J196" s="567"/>
      <c r="K196" s="568"/>
      <c r="L196" s="563"/>
      <c r="M196" s="563"/>
      <c r="N196" s="563"/>
      <c r="O196" s="569"/>
      <c r="P196" s="570"/>
      <c r="Q196" s="571"/>
      <c r="R196" s="571"/>
      <c r="S196" s="572"/>
      <c r="T196" s="573"/>
      <c r="U196" s="574">
        <v>1229923.9651100899</v>
      </c>
      <c r="V196" s="574">
        <f>SUM(V164,V194)</f>
        <v>4122098.4878923316</v>
      </c>
      <c r="W196" s="574">
        <f>SUM(W164,W194)</f>
        <v>3794109.7313774847</v>
      </c>
      <c r="X196" s="574">
        <f>SUM(X164,X194)</f>
        <v>4762938.2406902937</v>
      </c>
      <c r="Y196" s="574">
        <f t="shared" ref="Y196:AF196" si="27">SUM(Y164,Y194)</f>
        <v>4934474.6586610209</v>
      </c>
      <c r="Z196" s="574">
        <f t="shared" si="27"/>
        <v>4807417.1912374115</v>
      </c>
      <c r="AA196" s="574">
        <f t="shared" si="27"/>
        <v>4682600.8804241028</v>
      </c>
      <c r="AB196" s="574">
        <f t="shared" si="27"/>
        <v>4467714.8207704937</v>
      </c>
      <c r="AC196" s="574">
        <f t="shared" si="27"/>
        <v>4328343.4403968863</v>
      </c>
      <c r="AD196" s="574">
        <f t="shared" si="27"/>
        <v>4141312.8548732768</v>
      </c>
      <c r="AE196" s="574">
        <f t="shared" si="27"/>
        <v>45565204.099418454</v>
      </c>
      <c r="AF196" s="574">
        <f t="shared" si="27"/>
        <v>77690006.186471924</v>
      </c>
      <c r="AG196" s="422"/>
      <c r="AH196" s="422"/>
    </row>
    <row r="197" spans="1:34" s="227" customFormat="1" ht="24" x14ac:dyDescent="0.2">
      <c r="A197" s="206"/>
      <c r="B197" s="575" t="s">
        <v>1039</v>
      </c>
      <c r="T197" s="576"/>
      <c r="U197" s="577">
        <v>9.6378458592987326E-2</v>
      </c>
      <c r="V197" s="577">
        <f>V196/$I$190</f>
        <v>1.8654747378995182</v>
      </c>
      <c r="W197" s="578">
        <f>W196/$I$190</f>
        <v>1.7170419089919366</v>
      </c>
      <c r="X197" s="578">
        <f t="shared" ref="X197:AD197" si="28">X196/$I$203</f>
        <v>0.14776789376490185</v>
      </c>
      <c r="Y197" s="578">
        <f t="shared" si="28"/>
        <v>0.15308972955335765</v>
      </c>
      <c r="Z197" s="578">
        <f t="shared" si="28"/>
        <v>0.14914783205237969</v>
      </c>
      <c r="AA197" s="578">
        <f t="shared" si="28"/>
        <v>0.14527546536938971</v>
      </c>
      <c r="AB197" s="578">
        <f t="shared" si="28"/>
        <v>0.13860872756389364</v>
      </c>
      <c r="AC197" s="578">
        <f t="shared" si="28"/>
        <v>0.13428479676987812</v>
      </c>
      <c r="AD197" s="578">
        <f t="shared" si="28"/>
        <v>0.12848226180179198</v>
      </c>
      <c r="AE197" s="577"/>
      <c r="AF197" s="579"/>
    </row>
    <row r="198" spans="1:34" x14ac:dyDescent="0.2">
      <c r="H198" s="580"/>
      <c r="I198" s="581"/>
      <c r="J198" s="580"/>
      <c r="K198" s="581"/>
      <c r="O198" s="582"/>
      <c r="P198" s="583"/>
      <c r="X198" s="438"/>
    </row>
    <row r="199" spans="1:34" s="279" customFormat="1" ht="13.5" hidden="1" customHeight="1" outlineLevel="1" x14ac:dyDescent="0.2">
      <c r="A199" s="421"/>
      <c r="B199" s="434" t="s">
        <v>1040</v>
      </c>
      <c r="C199" s="434"/>
      <c r="D199" s="551"/>
      <c r="E199" s="584"/>
      <c r="F199" s="430"/>
      <c r="G199" s="551" t="s">
        <v>1038</v>
      </c>
      <c r="H199" s="585"/>
      <c r="I199" s="426"/>
      <c r="J199" s="585"/>
      <c r="K199" s="426"/>
      <c r="L199" s="551"/>
      <c r="M199" s="551"/>
      <c r="N199" s="551"/>
      <c r="O199" s="586"/>
      <c r="P199" s="587"/>
      <c r="Q199" s="429"/>
      <c r="R199" s="429"/>
      <c r="S199" s="551"/>
      <c r="T199" s="588"/>
      <c r="U199" s="429">
        <v>1322355.8348899104</v>
      </c>
      <c r="V199" s="429" t="e">
        <f>V200-V196</f>
        <v>#REF!</v>
      </c>
      <c r="W199" s="429" t="e">
        <f>W200-W196</f>
        <v>#REF!</v>
      </c>
      <c r="X199" s="429"/>
      <c r="Y199" s="429"/>
      <c r="Z199" s="429"/>
      <c r="AA199" s="429"/>
      <c r="AB199" s="429"/>
      <c r="AC199" s="429"/>
      <c r="AD199" s="429"/>
      <c r="AE199" s="429"/>
      <c r="AF199" s="429"/>
      <c r="AG199" s="422"/>
      <c r="AH199" s="422"/>
    </row>
    <row r="200" spans="1:34" s="279" customFormat="1" ht="13.5" hidden="1" customHeight="1" outlineLevel="1" x14ac:dyDescent="0.2">
      <c r="A200" s="421"/>
      <c r="B200" s="434" t="s">
        <v>1041</v>
      </c>
      <c r="C200" s="434"/>
      <c r="D200" s="551"/>
      <c r="E200" s="584"/>
      <c r="F200" s="430"/>
      <c r="G200" s="551" t="s">
        <v>1038</v>
      </c>
      <c r="H200" s="585"/>
      <c r="I200" s="426"/>
      <c r="J200" s="585"/>
      <c r="K200" s="426"/>
      <c r="L200" s="551"/>
      <c r="M200" s="551"/>
      <c r="N200" s="551"/>
      <c r="O200" s="586"/>
      <c r="P200" s="587"/>
      <c r="Q200" s="429"/>
      <c r="R200" s="429"/>
      <c r="S200" s="551"/>
      <c r="T200" s="588"/>
      <c r="U200" s="429">
        <v>2552279.8000000003</v>
      </c>
      <c r="V200" s="429" t="e">
        <f>#REF!*0.2</f>
        <v>#REF!</v>
      </c>
      <c r="W200" s="429" t="e">
        <f>#REF!*0.2</f>
        <v>#REF!</v>
      </c>
      <c r="X200" s="429"/>
      <c r="Y200" s="429"/>
      <c r="Z200" s="429"/>
      <c r="AA200" s="429"/>
      <c r="AB200" s="429"/>
      <c r="AC200" s="429"/>
      <c r="AD200" s="429"/>
      <c r="AE200" s="429"/>
      <c r="AF200" s="429"/>
      <c r="AG200" s="422"/>
      <c r="AH200" s="422"/>
    </row>
    <row r="201" spans="1:34" s="227" customFormat="1" ht="24" hidden="1" outlineLevel="1" x14ac:dyDescent="0.2">
      <c r="A201" s="206"/>
      <c r="B201" s="589" t="s">
        <v>1039</v>
      </c>
      <c r="E201" s="590"/>
      <c r="F201" s="467"/>
      <c r="H201" s="591"/>
      <c r="I201" s="592"/>
      <c r="J201" s="591"/>
      <c r="K201" s="592"/>
      <c r="O201" s="593"/>
      <c r="P201" s="594"/>
      <c r="Q201" s="595"/>
      <c r="R201" s="595"/>
      <c r="T201" s="596"/>
      <c r="U201" s="595">
        <v>0.2</v>
      </c>
      <c r="V201" s="595" t="e">
        <f>(V196+V199)/#REF!</f>
        <v>#REF!</v>
      </c>
      <c r="W201" s="595" t="e">
        <f>(W196+W199)/#REF!</f>
        <v>#REF!</v>
      </c>
      <c r="X201" s="595"/>
      <c r="Y201" s="595"/>
      <c r="Z201" s="595"/>
      <c r="AA201" s="595"/>
      <c r="AB201" s="595"/>
      <c r="AC201" s="595"/>
      <c r="AD201" s="595"/>
      <c r="AE201" s="595"/>
      <c r="AF201" s="595"/>
      <c r="AG201" s="597"/>
      <c r="AH201" s="219"/>
    </row>
    <row r="202" spans="1:34" collapsed="1" x14ac:dyDescent="0.2">
      <c r="E202" s="209"/>
      <c r="F202" s="207"/>
      <c r="G202" s="208" t="s">
        <v>1042</v>
      </c>
      <c r="H202" s="212"/>
      <c r="I202" s="598"/>
      <c r="J202" s="212"/>
      <c r="K202" s="207"/>
      <c r="L202" s="599"/>
      <c r="O202" s="582"/>
      <c r="P202" s="215"/>
      <c r="T202" s="216"/>
      <c r="U202" s="207"/>
      <c r="V202" s="207"/>
      <c r="W202" s="600"/>
      <c r="X202" s="601">
        <f>I203*0.2</f>
        <v>6446513</v>
      </c>
      <c r="Y202" s="601"/>
      <c r="Z202" s="601"/>
      <c r="AA202" s="601"/>
      <c r="AB202" s="207"/>
      <c r="AC202" s="207"/>
      <c r="AD202" s="207"/>
      <c r="AE202" s="207"/>
      <c r="AF202" s="207"/>
    </row>
    <row r="203" spans="1:34" x14ac:dyDescent="0.2">
      <c r="G203" s="208" t="s">
        <v>1043</v>
      </c>
      <c r="H203" s="208"/>
      <c r="I203" s="602">
        <f>'[4]2023.gada budzeta plans_apvieno'!L108-'[4]2023.gada budzeta plans_apvieno'!L44-'[4]2023.gada budzeta plans_apvieno'!L140</f>
        <v>32232565</v>
      </c>
      <c r="J203" s="208"/>
      <c r="K203" s="208"/>
      <c r="L203" s="208"/>
      <c r="M203" s="208"/>
      <c r="N203" s="208"/>
      <c r="O203" s="208"/>
      <c r="P203" s="208"/>
      <c r="Q203" s="208"/>
      <c r="R203" s="208"/>
      <c r="S203" s="208"/>
      <c r="T203" s="208"/>
      <c r="U203" s="208"/>
      <c r="V203" s="208"/>
      <c r="W203" s="207"/>
      <c r="X203" s="207"/>
      <c r="Y203" s="207"/>
      <c r="Z203" s="207"/>
      <c r="AA203" s="207"/>
      <c r="AB203" s="207"/>
      <c r="AC203" s="207"/>
      <c r="AD203" s="207"/>
      <c r="AE203" s="207"/>
      <c r="AF203" s="207"/>
    </row>
    <row r="204" spans="1:34" x14ac:dyDescent="0.2">
      <c r="G204" s="208"/>
      <c r="H204" s="208"/>
      <c r="I204" s="603"/>
      <c r="J204" s="603"/>
      <c r="K204" s="603"/>
      <c r="L204" s="603"/>
      <c r="M204" s="603"/>
      <c r="N204" s="603"/>
      <c r="O204" s="603"/>
      <c r="P204" s="603"/>
      <c r="Q204" s="603"/>
      <c r="R204" s="603"/>
      <c r="S204" s="603"/>
      <c r="T204" s="603"/>
      <c r="U204" s="603"/>
      <c r="V204" s="603"/>
      <c r="W204" s="219"/>
      <c r="X204" s="604"/>
      <c r="Y204" s="604"/>
      <c r="Z204" s="604"/>
      <c r="AA204" s="604"/>
      <c r="AB204" s="604"/>
      <c r="AC204" s="604"/>
      <c r="AD204" s="604"/>
      <c r="AE204" s="604"/>
      <c r="AF204" s="604"/>
    </row>
    <row r="205" spans="1:34" ht="27.75" customHeight="1" thickBot="1" x14ac:dyDescent="0.25">
      <c r="H205" s="605"/>
      <c r="I205" s="606"/>
      <c r="J205" s="607"/>
      <c r="K205" s="608"/>
      <c r="L205" s="606"/>
      <c r="M205" s="606"/>
      <c r="N205" s="606"/>
      <c r="O205" s="609"/>
      <c r="P205" s="610"/>
      <c r="Q205" s="606"/>
      <c r="R205" s="606"/>
      <c r="S205" s="611"/>
      <c r="T205" s="612"/>
      <c r="U205" s="219"/>
      <c r="V205" s="219"/>
      <c r="W205" s="219"/>
      <c r="X205" s="613" t="s">
        <v>1044</v>
      </c>
      <c r="Y205" s="614" t="s">
        <v>1045</v>
      </c>
      <c r="Z205" s="614" t="s">
        <v>1046</v>
      </c>
      <c r="AA205" s="614" t="s">
        <v>1047</v>
      </c>
      <c r="AB205" s="614" t="s">
        <v>1048</v>
      </c>
      <c r="AC205" s="614" t="s">
        <v>1049</v>
      </c>
      <c r="AD205" s="614" t="s">
        <v>1050</v>
      </c>
      <c r="AE205" s="614" t="s">
        <v>685</v>
      </c>
      <c r="AF205" s="613" t="s">
        <v>686</v>
      </c>
    </row>
    <row r="206" spans="1:34" x14ac:dyDescent="0.2">
      <c r="H206" s="580"/>
      <c r="I206" s="615"/>
      <c r="J206" s="616"/>
      <c r="K206" s="615"/>
      <c r="O206" s="582"/>
      <c r="P206" s="583"/>
      <c r="Q206" s="617"/>
      <c r="R206" s="617"/>
      <c r="S206" s="467" t="s">
        <v>1051</v>
      </c>
      <c r="T206" s="603" t="s">
        <v>693</v>
      </c>
      <c r="U206" s="618">
        <v>1077375.7431783541</v>
      </c>
      <c r="V206" s="618">
        <f>V10+V12+V14+V16+V24+V18+V20+V22+V26+V28+V30+V32+V34+V36+V38+V40+V42+V44+V46+V48+V52+V54+V56+V58+V60+V64+V70+V72+V74+V76+V78+V80+V82+V84+V86+V88+V90+V92+V94+V96+V98+V100+V102+V104+V106+V108+V110+V112+V114+V116+V118+V120+V122+V124+V126+V128</f>
        <v>3547054.7031783541</v>
      </c>
      <c r="W206" s="618">
        <f>W10+W12+W14+W16+W24+W18+W20+W22+W26+W28+W30+W32+W34+W36+W38+W40+W42+W44+W46+W48+W52+W54+W56+W58+W60+W62+W64+W66+W68+W70+W72+W74+W76+W78+W80+W82+W84+W86+W88+W90+W92+W94+W96+W98+W100+W102+W104+W106+W108+W110+W112+W114+W116+W118+W120+W122+W124+W126+W128+W130+W132+W134</f>
        <v>3124493.5999999996</v>
      </c>
      <c r="X206" s="619">
        <f ca="1">SUMIF($S$10:$W$161,$T$206,X$10:X$161)</f>
        <v>3601890.1379218102</v>
      </c>
      <c r="Y206" s="619">
        <f t="shared" ref="Y206:AF206" ca="1" si="29">SUMIF($S$10:$W$161,$T$206,Y$10:Y$161)</f>
        <v>3733037.0212551435</v>
      </c>
      <c r="Z206" s="619">
        <f t="shared" ca="1" si="29"/>
        <v>3623814.3512551435</v>
      </c>
      <c r="AA206" s="619">
        <f t="shared" ca="1" si="29"/>
        <v>3575957.0212551435</v>
      </c>
      <c r="AB206" s="619">
        <f t="shared" ca="1" si="29"/>
        <v>3433909.0212551435</v>
      </c>
      <c r="AC206" s="619">
        <f t="shared" ca="1" si="29"/>
        <v>3378794.0212551435</v>
      </c>
      <c r="AD206" s="619">
        <f t="shared" ca="1" si="29"/>
        <v>3270874.2212551436</v>
      </c>
      <c r="AE206" s="619">
        <f t="shared" ca="1" si="29"/>
        <v>32865009.418703709</v>
      </c>
      <c r="AF206" s="619">
        <f t="shared" ca="1" si="29"/>
        <v>57483285.214156374</v>
      </c>
    </row>
    <row r="207" spans="1:34" x14ac:dyDescent="0.2">
      <c r="B207" s="620"/>
      <c r="C207" s="621"/>
      <c r="E207" s="209"/>
      <c r="F207" s="207"/>
      <c r="H207" s="580"/>
      <c r="I207" s="615"/>
      <c r="J207" s="616"/>
      <c r="K207" s="615"/>
      <c r="O207" s="582"/>
      <c r="P207" s="583"/>
      <c r="Q207" s="617"/>
      <c r="R207" s="617"/>
      <c r="S207" s="467" t="s">
        <v>1052</v>
      </c>
      <c r="T207" s="603" t="s">
        <v>695</v>
      </c>
      <c r="U207" s="618">
        <v>94356.197211735242</v>
      </c>
      <c r="V207" s="618">
        <f>V11+V13+V15+V17+V25+V19+V21+V23+V27+V29+V31+V33+V35+V37+V39+V41+V43+V45+V47+V49+V53+V55+V57+V59+V61+V65+V71+V73+V75+V77+V79+V81+V83+V85+V87+V89+V91+V93+V95+V97+V99+V101+V103+V105+V107+V109+V111+V113+V115+V117+V119+V121+V123+V125+V127+V129</f>
        <v>533038.9914139777</v>
      </c>
      <c r="W207" s="618">
        <f>W11+W13+W15+W17+W25+W19+W21+W23+W27+W29+W31+W33+W35+W37+W39+W41+W43+W45+W47+W49+W53+W55+W57+W59+W61+W63+W65+W67+W69+W71+W73+W75+W77+W79+W81+W83+W85+W87+W89+W91+W93+W95+W97+W99+W101+W103+W105+W107+W109+W111+W113+W115+W117+W119+W121+W123+W125+W127+W129+W131+W133+W135</f>
        <v>593332.50107748352</v>
      </c>
      <c r="X207" s="619">
        <f>SUMIF($S$10:$S$161,$T$207,X$10:X$161)</f>
        <v>1047339.3380284833</v>
      </c>
      <c r="Y207" s="619">
        <f t="shared" ref="Y207:AF207" si="30">SUMIF($S$10:$S$161,$T$207,Y$10:Y$161)</f>
        <v>1047611.3169058752</v>
      </c>
      <c r="Z207" s="619">
        <f t="shared" si="30"/>
        <v>974721.73372226732</v>
      </c>
      <c r="AA207" s="619">
        <f t="shared" si="30"/>
        <v>903924.9663489589</v>
      </c>
      <c r="AB207" s="619">
        <f t="shared" si="30"/>
        <v>834064.03797535086</v>
      </c>
      <c r="AC207" s="619">
        <f t="shared" si="30"/>
        <v>766959.78888174228</v>
      </c>
      <c r="AD207" s="619">
        <f t="shared" si="30"/>
        <v>700951.13463813462</v>
      </c>
      <c r="AE207" s="619">
        <f t="shared" si="30"/>
        <v>9555542.4870547373</v>
      </c>
      <c r="AF207" s="619">
        <f t="shared" si="30"/>
        <v>15831114.803555554</v>
      </c>
    </row>
    <row r="208" spans="1:34" ht="13.5" customHeight="1" thickBot="1" x14ac:dyDescent="0.25">
      <c r="H208" s="580"/>
      <c r="I208" s="622"/>
      <c r="J208" s="623"/>
      <c r="K208" s="622"/>
      <c r="L208" s="624"/>
      <c r="M208" s="624"/>
      <c r="N208" s="624"/>
      <c r="O208" s="625"/>
      <c r="P208" s="626"/>
      <c r="Q208" s="627"/>
      <c r="R208" s="627"/>
      <c r="S208" s="627" t="s">
        <v>1053</v>
      </c>
      <c r="T208" s="618"/>
      <c r="U208" s="618">
        <v>30726.948659999998</v>
      </c>
      <c r="V208" s="618">
        <f>V13+V15+V17+V19+V27+V21+V23+V25+V29+V31+V33+V35+V37+V39+V41+V43+V45+V47+V49+V53+V55+V57+V59+V61+V65+V71+V73+V75+V77+V79+V81+V83+V85+V87+V89+V91+V93+V95+V97+V99+V101+V103+V105+V107+V109+V111+V113+V115+V117+V119+V121+V123+V125+V127+V165</f>
        <v>501122.22546546825</v>
      </c>
      <c r="W208" s="618">
        <f>W194</f>
        <v>76283.630300000004</v>
      </c>
      <c r="X208" s="628">
        <f>X194</f>
        <v>113708.76474</v>
      </c>
      <c r="Y208" s="628">
        <f t="shared" ref="Y208:AE208" si="31">Y194</f>
        <v>133422.24050000001</v>
      </c>
      <c r="Z208" s="628">
        <f t="shared" si="31"/>
        <v>188820.46625999999</v>
      </c>
      <c r="AA208" s="628">
        <f t="shared" si="31"/>
        <v>183001.69282</v>
      </c>
      <c r="AB208" s="628">
        <f t="shared" si="31"/>
        <v>180368.00154</v>
      </c>
      <c r="AC208" s="628">
        <f t="shared" si="31"/>
        <v>163559.31026</v>
      </c>
      <c r="AD208" s="628">
        <f t="shared" si="31"/>
        <v>150800.61898</v>
      </c>
      <c r="AE208" s="628">
        <f t="shared" si="31"/>
        <v>3125965.31366</v>
      </c>
      <c r="AF208" s="628">
        <f>AF194</f>
        <v>4239646.40876</v>
      </c>
    </row>
    <row r="209" spans="1:34" x14ac:dyDescent="0.2">
      <c r="B209" s="629"/>
      <c r="D209" s="581"/>
      <c r="H209" s="212"/>
      <c r="I209" s="219"/>
      <c r="J209" s="616"/>
      <c r="K209" s="219"/>
      <c r="O209" s="582"/>
      <c r="P209" s="583"/>
      <c r="Q209" s="438"/>
      <c r="R209" s="438"/>
      <c r="S209" s="467" t="s">
        <v>1014</v>
      </c>
      <c r="T209" s="630"/>
      <c r="U209" s="618">
        <v>1202458.8890500893</v>
      </c>
      <c r="V209" s="618">
        <f t="shared" ref="V209:AE209" si="32">SUM(V206:V208)</f>
        <v>4581215.9200577997</v>
      </c>
      <c r="W209" s="618">
        <f t="shared" si="32"/>
        <v>3794109.7313774829</v>
      </c>
      <c r="X209" s="619">
        <f t="shared" ca="1" si="32"/>
        <v>4762938.2406902928</v>
      </c>
      <c r="Y209" s="618">
        <f t="shared" ca="1" si="32"/>
        <v>4914070.578661019</v>
      </c>
      <c r="Z209" s="618">
        <f t="shared" ca="1" si="32"/>
        <v>4787356.5512374109</v>
      </c>
      <c r="AA209" s="618">
        <f t="shared" ca="1" si="32"/>
        <v>4662883.6804241017</v>
      </c>
      <c r="AB209" s="618">
        <f t="shared" ca="1" si="32"/>
        <v>4448341.0607704939</v>
      </c>
      <c r="AC209" s="618">
        <f t="shared" ca="1" si="32"/>
        <v>4309313.120396886</v>
      </c>
      <c r="AD209" s="618">
        <f t="shared" ca="1" si="32"/>
        <v>4122625.9748732783</v>
      </c>
      <c r="AE209" s="618">
        <f t="shared" ca="1" si="32"/>
        <v>45546517.219418451</v>
      </c>
      <c r="AF209" s="619">
        <f ca="1">SUM(AF206:AF208)</f>
        <v>77554046.426471919</v>
      </c>
    </row>
    <row r="210" spans="1:34" x14ac:dyDescent="0.2">
      <c r="B210" s="631"/>
      <c r="S210" s="467"/>
      <c r="X210" s="438"/>
      <c r="Y210" s="438"/>
      <c r="Z210" s="438"/>
      <c r="AA210" s="438"/>
      <c r="AB210" s="438"/>
      <c r="AC210" s="438"/>
      <c r="AD210" s="438"/>
      <c r="AE210" s="438"/>
      <c r="AF210" s="438"/>
    </row>
    <row r="211" spans="1:34" s="640" customFormat="1" ht="18.75" x14ac:dyDescent="0.3">
      <c r="A211" s="632" t="s">
        <v>1054</v>
      </c>
      <c r="B211" s="633"/>
      <c r="C211" s="634"/>
      <c r="D211" s="635"/>
      <c r="E211" s="636"/>
      <c r="F211" s="636"/>
      <c r="G211" s="635"/>
      <c r="H211" s="637"/>
      <c r="I211" s="638" t="s">
        <v>1055</v>
      </c>
      <c r="J211" s="639"/>
      <c r="O211" s="641"/>
      <c r="P211" s="641"/>
      <c r="T211" s="642"/>
      <c r="U211" s="643"/>
      <c r="V211" s="438"/>
      <c r="W211" s="438"/>
      <c r="X211" s="438"/>
      <c r="Y211" s="438"/>
      <c r="Z211" s="438"/>
      <c r="AA211" s="438"/>
      <c r="AB211" s="438"/>
      <c r="AC211" s="438"/>
      <c r="AD211" s="438"/>
      <c r="AE211" s="438"/>
      <c r="AF211" s="438"/>
      <c r="AG211" s="644"/>
      <c r="AH211" s="644"/>
    </row>
    <row r="212" spans="1:34" ht="18.75" x14ac:dyDescent="0.3">
      <c r="S212" s="645"/>
      <c r="T212" s="646"/>
      <c r="U212" s="643"/>
      <c r="V212" s="438"/>
      <c r="W212" s="438">
        <f ca="1">(SUM(W206:AC206)+AE206)*0.0025</f>
        <v>143342.26148225309</v>
      </c>
      <c r="X212" s="438" t="s">
        <v>1044</v>
      </c>
      <c r="Y212" s="438"/>
      <c r="Z212" s="438"/>
      <c r="AA212" s="438"/>
      <c r="AB212" s="438"/>
      <c r="AC212" s="438"/>
      <c r="AD212" s="438"/>
      <c r="AE212" s="438"/>
      <c r="AF212" s="438"/>
    </row>
    <row r="213" spans="1:34" x14ac:dyDescent="0.2">
      <c r="S213" s="207" t="s">
        <v>1051</v>
      </c>
      <c r="U213" s="219">
        <v>1077375.7431783541</v>
      </c>
      <c r="V213" s="604">
        <v>3547054.7031783541</v>
      </c>
      <c r="W213" s="604">
        <v>3124493.5999999996</v>
      </c>
      <c r="X213" s="604">
        <v>3601890.1379218102</v>
      </c>
      <c r="Y213" s="604"/>
      <c r="Z213" s="604"/>
      <c r="AA213" s="604"/>
      <c r="AB213" s="604"/>
      <c r="AC213" s="604"/>
      <c r="AD213" s="604"/>
      <c r="AE213" s="604"/>
      <c r="AF213" s="604"/>
    </row>
    <row r="214" spans="1:34" s="648" customFormat="1" x14ac:dyDescent="0.2">
      <c r="A214" s="647"/>
      <c r="C214" s="207"/>
      <c r="E214" s="649"/>
      <c r="F214" s="650"/>
      <c r="H214" s="222"/>
      <c r="I214" s="223"/>
      <c r="J214" s="222"/>
      <c r="K214" s="651"/>
      <c r="O214" s="224"/>
      <c r="P214" s="225"/>
      <c r="Q214" s="227"/>
      <c r="R214" s="652"/>
      <c r="S214" s="648" t="s">
        <v>1052</v>
      </c>
      <c r="T214" s="653"/>
      <c r="U214" s="604">
        <v>94356.197211735242</v>
      </c>
      <c r="V214" s="604">
        <v>112548.28825480334</v>
      </c>
      <c r="W214" s="604">
        <v>159987.50045877087</v>
      </c>
      <c r="X214" s="604">
        <v>1047339.1639484833</v>
      </c>
      <c r="Y214" s="604"/>
      <c r="Z214" s="604"/>
      <c r="AA214" s="604"/>
      <c r="AB214" s="604"/>
      <c r="AC214" s="604"/>
      <c r="AD214" s="604"/>
      <c r="AE214" s="604"/>
      <c r="AF214" s="604"/>
      <c r="AG214" s="654"/>
      <c r="AH214" s="654"/>
    </row>
    <row r="215" spans="1:34" s="648" customFormat="1" x14ac:dyDescent="0.2">
      <c r="A215" s="647"/>
      <c r="C215" s="207"/>
      <c r="E215" s="649"/>
      <c r="F215" s="650"/>
      <c r="H215" s="222"/>
      <c r="I215" s="223"/>
      <c r="J215" s="222"/>
      <c r="K215" s="651"/>
      <c r="O215" s="224"/>
      <c r="P215" s="225"/>
      <c r="Q215" s="207"/>
      <c r="S215" s="648" t="s">
        <v>1053</v>
      </c>
      <c r="T215" s="226"/>
      <c r="U215" s="219">
        <v>30726.948659999998</v>
      </c>
      <c r="V215" s="604">
        <v>107315.78245857952</v>
      </c>
      <c r="W215" s="604">
        <v>45076.740300000005</v>
      </c>
      <c r="X215" s="604">
        <v>84698.003460000007</v>
      </c>
      <c r="Y215" s="604"/>
      <c r="Z215" s="604"/>
      <c r="AA215" s="604"/>
      <c r="AB215" s="604"/>
      <c r="AC215" s="604"/>
      <c r="AD215" s="604"/>
      <c r="AE215" s="604"/>
      <c r="AF215" s="604"/>
      <c r="AG215" s="654"/>
      <c r="AH215" s="654"/>
    </row>
    <row r="216" spans="1:34" s="648" customFormat="1" x14ac:dyDescent="0.2">
      <c r="A216" s="647"/>
      <c r="C216" s="207"/>
      <c r="E216" s="649"/>
      <c r="F216" s="650"/>
      <c r="H216" s="222"/>
      <c r="I216" s="223"/>
      <c r="J216" s="222"/>
      <c r="K216" s="651"/>
      <c r="O216" s="224"/>
      <c r="P216" s="225"/>
      <c r="Q216" s="207"/>
      <c r="S216" s="648" t="s">
        <v>1014</v>
      </c>
      <c r="T216" s="226"/>
      <c r="U216" s="219">
        <v>1202458.8890500893</v>
      </c>
      <c r="V216" s="604">
        <v>3766918.7738917372</v>
      </c>
      <c r="W216" s="604">
        <v>3329557.8407587707</v>
      </c>
      <c r="X216" s="604">
        <v>4733927.3053302942</v>
      </c>
      <c r="Y216" s="604"/>
      <c r="Z216" s="604"/>
      <c r="AA216" s="604"/>
      <c r="AB216" s="604"/>
      <c r="AC216" s="604"/>
      <c r="AD216" s="604"/>
      <c r="AE216" s="604"/>
      <c r="AF216" s="604"/>
      <c r="AG216" s="654"/>
      <c r="AH216" s="654"/>
    </row>
    <row r="217" spans="1:34" s="648" customFormat="1" x14ac:dyDescent="0.2">
      <c r="A217" s="647"/>
      <c r="C217" s="207"/>
      <c r="E217" s="649"/>
      <c r="F217" s="650"/>
      <c r="H217" s="222"/>
      <c r="I217" s="223"/>
      <c r="J217" s="222"/>
      <c r="K217" s="651"/>
      <c r="O217" s="224"/>
      <c r="P217" s="225"/>
      <c r="Q217" s="207"/>
      <c r="T217" s="226"/>
      <c r="U217" s="227"/>
      <c r="V217" s="438"/>
      <c r="W217" s="438"/>
      <c r="X217" s="438"/>
      <c r="Y217" s="438"/>
      <c r="Z217" s="438"/>
      <c r="AA217" s="438"/>
      <c r="AB217" s="438"/>
      <c r="AC217" s="438"/>
      <c r="AD217" s="438"/>
      <c r="AE217" s="438"/>
      <c r="AF217" s="438"/>
      <c r="AG217" s="654"/>
      <c r="AH217" s="654"/>
    </row>
    <row r="218" spans="1:34" s="648" customFormat="1" x14ac:dyDescent="0.2">
      <c r="A218" s="647"/>
      <c r="C218" s="207"/>
      <c r="E218" s="649"/>
      <c r="F218" s="650"/>
      <c r="H218" s="222"/>
      <c r="I218" s="223"/>
      <c r="J218" s="222"/>
      <c r="K218" s="651"/>
      <c r="O218" s="224"/>
      <c r="P218" s="225"/>
      <c r="Q218" s="207"/>
      <c r="T218" s="226"/>
      <c r="U218" s="227"/>
      <c r="V218" s="438"/>
      <c r="W218" s="438"/>
      <c r="X218" s="438"/>
      <c r="Y218" s="438"/>
      <c r="Z218" s="438"/>
      <c r="AA218" s="438"/>
      <c r="AB218" s="438"/>
      <c r="AC218" s="438"/>
      <c r="AD218" s="438"/>
      <c r="AE218" s="438"/>
      <c r="AF218" s="438"/>
      <c r="AG218" s="654"/>
      <c r="AH218" s="654"/>
    </row>
    <row r="219" spans="1:34" s="648" customFormat="1" x14ac:dyDescent="0.2">
      <c r="A219" s="647"/>
      <c r="C219" s="207"/>
      <c r="E219" s="649"/>
      <c r="F219" s="650"/>
      <c r="H219" s="222"/>
      <c r="I219" s="223"/>
      <c r="J219" s="222"/>
      <c r="K219" s="651"/>
      <c r="O219" s="224"/>
      <c r="P219" s="225"/>
      <c r="Q219" s="207"/>
      <c r="T219" s="226"/>
      <c r="U219" s="227"/>
      <c r="V219" s="438"/>
      <c r="W219" s="438"/>
      <c r="X219" s="438"/>
      <c r="Y219" s="438"/>
      <c r="Z219" s="438"/>
      <c r="AA219" s="438"/>
      <c r="AB219" s="438"/>
      <c r="AC219" s="438"/>
      <c r="AD219" s="438"/>
      <c r="AE219" s="438"/>
      <c r="AF219" s="438"/>
      <c r="AG219" s="654"/>
      <c r="AH219" s="654"/>
    </row>
    <row r="220" spans="1:34" s="648" customFormat="1" x14ac:dyDescent="0.2">
      <c r="A220" s="647"/>
      <c r="C220" s="207"/>
      <c r="E220" s="649"/>
      <c r="F220" s="650"/>
      <c r="H220" s="222"/>
      <c r="I220" s="223"/>
      <c r="J220" s="222"/>
      <c r="K220" s="651"/>
      <c r="O220" s="224"/>
      <c r="P220" s="225"/>
      <c r="Q220" s="207"/>
      <c r="T220" s="655"/>
      <c r="U220" s="656"/>
      <c r="V220" s="438"/>
      <c r="W220" s="438"/>
      <c r="X220" s="438"/>
      <c r="Y220" s="438"/>
      <c r="Z220" s="438"/>
      <c r="AA220" s="438"/>
      <c r="AB220" s="438"/>
      <c r="AC220" s="438"/>
      <c r="AD220" s="438"/>
      <c r="AE220" s="438"/>
      <c r="AF220" s="438"/>
      <c r="AG220" s="654"/>
      <c r="AH220" s="654"/>
    </row>
    <row r="221" spans="1:34" s="648" customFormat="1" x14ac:dyDescent="0.2">
      <c r="A221" s="647"/>
      <c r="C221" s="207"/>
      <c r="E221" s="649"/>
      <c r="F221" s="650"/>
      <c r="H221" s="222"/>
      <c r="I221" s="223"/>
      <c r="J221" s="222"/>
      <c r="K221" s="651"/>
      <c r="O221" s="224"/>
      <c r="P221" s="225"/>
      <c r="Q221" s="207"/>
      <c r="T221" s="655"/>
      <c r="U221" s="656"/>
      <c r="V221" s="438"/>
      <c r="W221" s="438"/>
      <c r="X221" s="438"/>
      <c r="Y221" s="438"/>
      <c r="Z221" s="438"/>
      <c r="AA221" s="438"/>
      <c r="AB221" s="438"/>
      <c r="AC221" s="438"/>
      <c r="AD221" s="438"/>
      <c r="AE221" s="438"/>
      <c r="AF221" s="438"/>
      <c r="AG221" s="654"/>
      <c r="AH221" s="654"/>
    </row>
    <row r="222" spans="1:34" s="648" customFormat="1" x14ac:dyDescent="0.2">
      <c r="A222" s="647"/>
      <c r="C222" s="207"/>
      <c r="E222" s="649"/>
      <c r="F222" s="650"/>
      <c r="H222" s="222"/>
      <c r="I222" s="223"/>
      <c r="J222" s="222"/>
      <c r="K222" s="651"/>
      <c r="O222" s="224"/>
      <c r="P222" s="225"/>
      <c r="Q222" s="207"/>
      <c r="T222" s="226"/>
      <c r="U222" s="227"/>
      <c r="V222" s="227"/>
      <c r="W222" s="227"/>
      <c r="X222" s="652"/>
      <c r="Y222" s="652"/>
      <c r="Z222" s="652"/>
      <c r="AA222" s="652"/>
      <c r="AB222" s="652"/>
      <c r="AC222" s="652"/>
      <c r="AD222" s="652"/>
      <c r="AE222" s="227"/>
      <c r="AF222" s="227"/>
      <c r="AG222" s="654"/>
      <c r="AH222" s="654"/>
    </row>
    <row r="223" spans="1:34" s="648" customFormat="1" x14ac:dyDescent="0.2">
      <c r="A223" s="647"/>
      <c r="C223" s="207"/>
      <c r="E223" s="649"/>
      <c r="F223" s="650"/>
      <c r="H223" s="222"/>
      <c r="I223" s="223"/>
      <c r="J223" s="222"/>
      <c r="K223" s="651"/>
      <c r="O223" s="224"/>
      <c r="P223" s="225"/>
      <c r="Q223" s="207"/>
      <c r="T223" s="226"/>
      <c r="U223" s="227"/>
      <c r="V223" s="227"/>
      <c r="W223" s="227"/>
      <c r="X223" s="652"/>
      <c r="Y223" s="652"/>
      <c r="Z223" s="652"/>
      <c r="AA223" s="652"/>
      <c r="AB223" s="652"/>
      <c r="AC223" s="652"/>
      <c r="AD223" s="652"/>
      <c r="AE223" s="227"/>
      <c r="AF223" s="227"/>
      <c r="AG223" s="654"/>
      <c r="AH223" s="654"/>
    </row>
    <row r="224" spans="1:34" s="648" customFormat="1" x14ac:dyDescent="0.2">
      <c r="A224" s="647"/>
      <c r="C224" s="207"/>
      <c r="E224" s="649"/>
      <c r="F224" s="650"/>
      <c r="H224" s="222"/>
      <c r="I224" s="223"/>
      <c r="J224" s="222"/>
      <c r="K224" s="651"/>
      <c r="O224" s="224"/>
      <c r="P224" s="225"/>
      <c r="Q224" s="207"/>
      <c r="T224" s="226"/>
      <c r="U224" s="227"/>
      <c r="V224" s="227"/>
      <c r="W224" s="227"/>
      <c r="X224" s="652"/>
      <c r="Y224" s="652"/>
      <c r="Z224" s="652"/>
      <c r="AA224" s="652"/>
      <c r="AB224" s="652"/>
      <c r="AC224" s="652"/>
      <c r="AD224" s="652"/>
      <c r="AE224" s="227"/>
      <c r="AF224" s="227"/>
      <c r="AG224" s="654"/>
      <c r="AH224" s="654"/>
    </row>
    <row r="225" spans="1:34" s="648" customFormat="1" x14ac:dyDescent="0.2">
      <c r="A225" s="647"/>
      <c r="C225" s="207"/>
      <c r="E225" s="649"/>
      <c r="F225" s="650"/>
      <c r="H225" s="222"/>
      <c r="I225" s="223"/>
      <c r="J225" s="222"/>
      <c r="K225" s="651"/>
      <c r="O225" s="224"/>
      <c r="P225" s="225"/>
      <c r="Q225" s="207"/>
      <c r="T225" s="226"/>
      <c r="U225" s="227"/>
      <c r="V225" s="227"/>
      <c r="W225" s="227"/>
      <c r="X225" s="652"/>
      <c r="Y225" s="652"/>
      <c r="Z225" s="652"/>
      <c r="AA225" s="652"/>
      <c r="AB225" s="652"/>
      <c r="AC225" s="652"/>
      <c r="AD225" s="652"/>
      <c r="AE225" s="227"/>
      <c r="AF225" s="227"/>
      <c r="AG225" s="654"/>
      <c r="AH225" s="654"/>
    </row>
    <row r="226" spans="1:34" s="648" customFormat="1" x14ac:dyDescent="0.2">
      <c r="A226" s="647"/>
      <c r="C226" s="207"/>
      <c r="E226" s="649"/>
      <c r="F226" s="650"/>
      <c r="H226" s="222"/>
      <c r="I226" s="223"/>
      <c r="J226" s="222"/>
      <c r="K226" s="651"/>
      <c r="O226" s="224"/>
      <c r="P226" s="225"/>
      <c r="Q226" s="207"/>
      <c r="T226" s="226"/>
      <c r="U226" s="227"/>
      <c r="V226" s="227"/>
      <c r="W226" s="227"/>
      <c r="X226" s="652"/>
      <c r="Y226" s="652"/>
      <c r="Z226" s="652"/>
      <c r="AA226" s="652"/>
      <c r="AB226" s="652"/>
      <c r="AC226" s="652"/>
      <c r="AD226" s="652"/>
      <c r="AE226" s="227"/>
      <c r="AF226" s="227"/>
      <c r="AG226" s="654"/>
      <c r="AH226" s="654"/>
    </row>
    <row r="227" spans="1:34" s="648" customFormat="1" x14ac:dyDescent="0.2">
      <c r="A227" s="647"/>
      <c r="C227" s="207"/>
      <c r="E227" s="649"/>
      <c r="F227" s="650"/>
      <c r="H227" s="222"/>
      <c r="I227" s="223"/>
      <c r="J227" s="222"/>
      <c r="K227" s="651"/>
      <c r="O227" s="224"/>
      <c r="P227" s="225"/>
      <c r="Q227" s="207"/>
      <c r="T227" s="226"/>
      <c r="U227" s="227"/>
      <c r="V227" s="227"/>
      <c r="W227" s="227"/>
      <c r="X227" s="652"/>
      <c r="Y227" s="652"/>
      <c r="Z227" s="652"/>
      <c r="AA227" s="652"/>
      <c r="AB227" s="652"/>
      <c r="AC227" s="652"/>
      <c r="AD227" s="652"/>
      <c r="AE227" s="227"/>
      <c r="AF227" s="227"/>
      <c r="AG227" s="654"/>
      <c r="AH227" s="654"/>
    </row>
    <row r="228" spans="1:34" s="648" customFormat="1" x14ac:dyDescent="0.2">
      <c r="A228" s="647"/>
      <c r="C228" s="207"/>
      <c r="E228" s="649"/>
      <c r="F228" s="650"/>
      <c r="H228" s="222"/>
      <c r="I228" s="223"/>
      <c r="J228" s="222"/>
      <c r="K228" s="651"/>
      <c r="O228" s="224"/>
      <c r="P228" s="225"/>
      <c r="Q228" s="207"/>
      <c r="T228" s="226"/>
      <c r="U228" s="227"/>
      <c r="V228" s="227"/>
      <c r="W228" s="227"/>
      <c r="X228" s="652"/>
      <c r="Y228" s="652"/>
      <c r="Z228" s="652"/>
      <c r="AA228" s="652"/>
      <c r="AB228" s="652"/>
      <c r="AC228" s="652"/>
      <c r="AD228" s="652"/>
      <c r="AE228" s="227"/>
      <c r="AF228" s="227"/>
      <c r="AG228" s="654"/>
      <c r="AH228" s="654"/>
    </row>
    <row r="229" spans="1:34" s="648" customFormat="1" x14ac:dyDescent="0.2">
      <c r="A229" s="647"/>
      <c r="C229" s="207"/>
      <c r="E229" s="649"/>
      <c r="F229" s="650"/>
      <c r="H229" s="222"/>
      <c r="I229" s="223"/>
      <c r="J229" s="222"/>
      <c r="K229" s="651"/>
      <c r="O229" s="224"/>
      <c r="P229" s="225"/>
      <c r="Q229" s="207"/>
      <c r="T229" s="226"/>
      <c r="U229" s="227"/>
      <c r="V229" s="227"/>
      <c r="W229" s="227"/>
      <c r="X229" s="652"/>
      <c r="Y229" s="652"/>
      <c r="Z229" s="652"/>
      <c r="AA229" s="652"/>
      <c r="AB229" s="652"/>
      <c r="AC229" s="652"/>
      <c r="AD229" s="652"/>
      <c r="AE229" s="227"/>
      <c r="AF229" s="227"/>
      <c r="AG229" s="654"/>
      <c r="AH229" s="654"/>
    </row>
    <row r="230" spans="1:34" s="648" customFormat="1" x14ac:dyDescent="0.2">
      <c r="A230" s="647"/>
      <c r="C230" s="207"/>
      <c r="E230" s="649"/>
      <c r="F230" s="650"/>
      <c r="H230" s="222"/>
      <c r="I230" s="223"/>
      <c r="J230" s="222"/>
      <c r="K230" s="651"/>
      <c r="O230" s="224"/>
      <c r="P230" s="225"/>
      <c r="Q230" s="207"/>
      <c r="T230" s="226"/>
      <c r="U230" s="227"/>
      <c r="V230" s="227"/>
      <c r="W230" s="227"/>
      <c r="X230" s="652"/>
      <c r="Y230" s="652"/>
      <c r="Z230" s="652"/>
      <c r="AA230" s="652"/>
      <c r="AB230" s="652"/>
      <c r="AC230" s="652"/>
      <c r="AD230" s="652"/>
      <c r="AE230" s="227"/>
      <c r="AF230" s="227"/>
      <c r="AG230" s="654"/>
      <c r="AH230" s="654"/>
    </row>
    <row r="231" spans="1:34" s="648" customFormat="1" x14ac:dyDescent="0.2">
      <c r="A231" s="647"/>
      <c r="C231" s="207"/>
      <c r="E231" s="649"/>
      <c r="F231" s="650"/>
      <c r="H231" s="222"/>
      <c r="I231" s="223"/>
      <c r="J231" s="222"/>
      <c r="K231" s="651"/>
      <c r="O231" s="224"/>
      <c r="P231" s="225"/>
      <c r="Q231" s="207"/>
      <c r="T231" s="226"/>
      <c r="U231" s="227"/>
      <c r="V231" s="227"/>
      <c r="W231" s="227"/>
      <c r="X231" s="652"/>
      <c r="Y231" s="652"/>
      <c r="Z231" s="652"/>
      <c r="AA231" s="652"/>
      <c r="AB231" s="652"/>
      <c r="AC231" s="652"/>
      <c r="AD231" s="652"/>
      <c r="AE231" s="227"/>
      <c r="AF231" s="227"/>
      <c r="AG231" s="654"/>
      <c r="AH231" s="654"/>
    </row>
    <row r="232" spans="1:34" s="648" customFormat="1" x14ac:dyDescent="0.2">
      <c r="A232" s="647"/>
      <c r="C232" s="207"/>
      <c r="E232" s="649"/>
      <c r="F232" s="650"/>
      <c r="H232" s="222"/>
      <c r="I232" s="223"/>
      <c r="J232" s="222"/>
      <c r="K232" s="651"/>
      <c r="O232" s="224"/>
      <c r="P232" s="225"/>
      <c r="Q232" s="207"/>
      <c r="T232" s="226"/>
      <c r="U232" s="227"/>
      <c r="V232" s="227"/>
      <c r="W232" s="227"/>
      <c r="X232" s="652"/>
      <c r="Y232" s="652"/>
      <c r="Z232" s="652"/>
      <c r="AA232" s="652"/>
      <c r="AB232" s="652"/>
      <c r="AC232" s="652"/>
      <c r="AD232" s="652"/>
      <c r="AE232" s="227"/>
      <c r="AF232" s="227"/>
      <c r="AG232" s="654"/>
      <c r="AH232" s="654"/>
    </row>
    <row r="233" spans="1:34" s="648" customFormat="1" x14ac:dyDescent="0.2">
      <c r="A233" s="647"/>
      <c r="C233" s="207"/>
      <c r="E233" s="649"/>
      <c r="F233" s="650"/>
      <c r="H233" s="222"/>
      <c r="I233" s="223"/>
      <c r="J233" s="222"/>
      <c r="K233" s="651"/>
      <c r="O233" s="224"/>
      <c r="P233" s="225"/>
      <c r="Q233" s="207"/>
      <c r="T233" s="226"/>
      <c r="U233" s="227"/>
      <c r="V233" s="227"/>
      <c r="W233" s="227"/>
      <c r="X233" s="652"/>
      <c r="Y233" s="652"/>
      <c r="Z233" s="652"/>
      <c r="AA233" s="652"/>
      <c r="AB233" s="652"/>
      <c r="AC233" s="652"/>
      <c r="AD233" s="652"/>
      <c r="AE233" s="227"/>
      <c r="AF233" s="227"/>
      <c r="AG233" s="654"/>
      <c r="AH233" s="654"/>
    </row>
    <row r="234" spans="1:34" s="648" customFormat="1" x14ac:dyDescent="0.2">
      <c r="A234" s="647"/>
      <c r="C234" s="207"/>
      <c r="E234" s="649"/>
      <c r="F234" s="650"/>
      <c r="H234" s="222"/>
      <c r="I234" s="223"/>
      <c r="J234" s="222"/>
      <c r="K234" s="651"/>
      <c r="O234" s="224"/>
      <c r="P234" s="225"/>
      <c r="Q234" s="207"/>
      <c r="T234" s="226"/>
      <c r="U234" s="227"/>
      <c r="V234" s="227"/>
      <c r="W234" s="227"/>
      <c r="X234" s="652"/>
      <c r="Y234" s="652"/>
      <c r="Z234" s="652"/>
      <c r="AA234" s="652"/>
      <c r="AB234" s="652"/>
      <c r="AC234" s="652"/>
      <c r="AD234" s="652"/>
      <c r="AE234" s="227"/>
      <c r="AF234" s="227"/>
      <c r="AG234" s="654"/>
      <c r="AH234" s="654"/>
    </row>
    <row r="235" spans="1:34" s="648" customFormat="1" x14ac:dyDescent="0.2">
      <c r="A235" s="647"/>
      <c r="C235" s="207"/>
      <c r="E235" s="649"/>
      <c r="F235" s="650"/>
      <c r="H235" s="222"/>
      <c r="I235" s="223"/>
      <c r="J235" s="222"/>
      <c r="K235" s="651"/>
      <c r="O235" s="224"/>
      <c r="P235" s="225"/>
      <c r="Q235" s="207"/>
      <c r="T235" s="226"/>
      <c r="U235" s="227"/>
      <c r="V235" s="227"/>
      <c r="W235" s="227"/>
      <c r="X235" s="652"/>
      <c r="Y235" s="652"/>
      <c r="Z235" s="652"/>
      <c r="AA235" s="652"/>
      <c r="AB235" s="652"/>
      <c r="AC235" s="652"/>
      <c r="AD235" s="652"/>
      <c r="AE235" s="227"/>
      <c r="AF235" s="227"/>
      <c r="AG235" s="654"/>
      <c r="AH235" s="654"/>
    </row>
    <row r="236" spans="1:34" s="648" customFormat="1" x14ac:dyDescent="0.2">
      <c r="A236" s="647"/>
      <c r="C236" s="207"/>
      <c r="E236" s="649"/>
      <c r="F236" s="650"/>
      <c r="H236" s="222"/>
      <c r="I236" s="223"/>
      <c r="J236" s="222"/>
      <c r="K236" s="651"/>
      <c r="O236" s="224"/>
      <c r="P236" s="225"/>
      <c r="Q236" s="207"/>
      <c r="T236" s="226"/>
      <c r="U236" s="227"/>
      <c r="V236" s="227"/>
      <c r="W236" s="227"/>
      <c r="X236" s="652"/>
      <c r="Y236" s="652"/>
      <c r="Z236" s="652"/>
      <c r="AA236" s="652"/>
      <c r="AB236" s="652"/>
      <c r="AC236" s="652"/>
      <c r="AD236" s="652"/>
      <c r="AE236" s="227"/>
      <c r="AF236" s="227"/>
      <c r="AG236" s="654"/>
      <c r="AH236" s="654"/>
    </row>
    <row r="237" spans="1:34" s="648" customFormat="1" x14ac:dyDescent="0.2">
      <c r="A237" s="647"/>
      <c r="C237" s="207"/>
      <c r="E237" s="649"/>
      <c r="F237" s="650"/>
      <c r="H237" s="222"/>
      <c r="I237" s="223"/>
      <c r="J237" s="222"/>
      <c r="K237" s="651"/>
      <c r="O237" s="224"/>
      <c r="P237" s="225"/>
      <c r="Q237" s="207"/>
      <c r="T237" s="226"/>
      <c r="U237" s="227"/>
      <c r="V237" s="227"/>
      <c r="W237" s="227"/>
      <c r="X237" s="652"/>
      <c r="Y237" s="652"/>
      <c r="Z237" s="652"/>
      <c r="AA237" s="652"/>
      <c r="AB237" s="652"/>
      <c r="AC237" s="652"/>
      <c r="AD237" s="652"/>
      <c r="AE237" s="227"/>
      <c r="AF237" s="227"/>
      <c r="AG237" s="654"/>
      <c r="AH237" s="654"/>
    </row>
    <row r="238" spans="1:34" s="648" customFormat="1" x14ac:dyDescent="0.2">
      <c r="A238" s="647"/>
      <c r="C238" s="207"/>
      <c r="E238" s="649"/>
      <c r="F238" s="650"/>
      <c r="H238" s="222"/>
      <c r="I238" s="223"/>
      <c r="J238" s="222"/>
      <c r="K238" s="651"/>
      <c r="O238" s="224"/>
      <c r="P238" s="225"/>
      <c r="Q238" s="207"/>
      <c r="T238" s="226"/>
      <c r="U238" s="227"/>
      <c r="V238" s="227"/>
      <c r="W238" s="227"/>
      <c r="X238" s="652"/>
      <c r="Y238" s="652"/>
      <c r="Z238" s="652"/>
      <c r="AA238" s="652"/>
      <c r="AB238" s="652"/>
      <c r="AC238" s="652"/>
      <c r="AD238" s="652"/>
      <c r="AE238" s="227"/>
      <c r="AF238" s="227"/>
      <c r="AG238" s="654"/>
      <c r="AH238" s="654"/>
    </row>
    <row r="239" spans="1:34" s="648" customFormat="1" x14ac:dyDescent="0.2">
      <c r="A239" s="647"/>
      <c r="C239" s="207"/>
      <c r="E239" s="649"/>
      <c r="F239" s="650"/>
      <c r="H239" s="222"/>
      <c r="I239" s="223"/>
      <c r="J239" s="222"/>
      <c r="K239" s="651"/>
      <c r="O239" s="224"/>
      <c r="P239" s="225"/>
      <c r="Q239" s="207"/>
      <c r="T239" s="226"/>
      <c r="U239" s="227"/>
      <c r="V239" s="227"/>
      <c r="W239" s="227"/>
      <c r="X239" s="652"/>
      <c r="Y239" s="652"/>
      <c r="Z239" s="652"/>
      <c r="AA239" s="652"/>
      <c r="AB239" s="652"/>
      <c r="AC239" s="652"/>
      <c r="AD239" s="652"/>
      <c r="AE239" s="227"/>
      <c r="AF239" s="227"/>
      <c r="AG239" s="654"/>
      <c r="AH239" s="654"/>
    </row>
    <row r="240" spans="1:34" s="648" customFormat="1" x14ac:dyDescent="0.2">
      <c r="A240" s="647"/>
      <c r="C240" s="207"/>
      <c r="E240" s="649"/>
      <c r="F240" s="650"/>
      <c r="H240" s="222"/>
      <c r="I240" s="223"/>
      <c r="J240" s="222"/>
      <c r="K240" s="651"/>
      <c r="O240" s="224"/>
      <c r="P240" s="225"/>
      <c r="Q240" s="207"/>
      <c r="T240" s="226"/>
      <c r="U240" s="227"/>
      <c r="V240" s="227"/>
      <c r="W240" s="227"/>
      <c r="X240" s="652"/>
      <c r="Y240" s="652"/>
      <c r="Z240" s="652"/>
      <c r="AA240" s="652"/>
      <c r="AB240" s="652"/>
      <c r="AC240" s="652"/>
      <c r="AD240" s="652"/>
      <c r="AE240" s="227"/>
      <c r="AF240" s="227"/>
      <c r="AG240" s="654"/>
      <c r="AH240" s="654"/>
    </row>
    <row r="241" spans="1:34" s="648" customFormat="1" x14ac:dyDescent="0.2">
      <c r="A241" s="647"/>
      <c r="C241" s="207"/>
      <c r="E241" s="649"/>
      <c r="F241" s="650"/>
      <c r="H241" s="222"/>
      <c r="I241" s="223"/>
      <c r="J241" s="222"/>
      <c r="K241" s="651"/>
      <c r="O241" s="224"/>
      <c r="P241" s="225"/>
      <c r="Q241" s="207"/>
      <c r="T241" s="226"/>
      <c r="U241" s="227"/>
      <c r="V241" s="227"/>
      <c r="W241" s="227"/>
      <c r="X241" s="652"/>
      <c r="Y241" s="652"/>
      <c r="Z241" s="652"/>
      <c r="AA241" s="652"/>
      <c r="AB241" s="652"/>
      <c r="AC241" s="652"/>
      <c r="AD241" s="652"/>
      <c r="AE241" s="227"/>
      <c r="AF241" s="227"/>
      <c r="AG241" s="654"/>
      <c r="AH241" s="654"/>
    </row>
    <row r="242" spans="1:34" s="648" customFormat="1" x14ac:dyDescent="0.2">
      <c r="A242" s="647"/>
      <c r="C242" s="207"/>
      <c r="E242" s="649"/>
      <c r="F242" s="650"/>
      <c r="H242" s="222"/>
      <c r="I242" s="223"/>
      <c r="J242" s="222"/>
      <c r="K242" s="651"/>
      <c r="O242" s="224"/>
      <c r="P242" s="225"/>
      <c r="Q242" s="207"/>
      <c r="T242" s="226"/>
      <c r="U242" s="227"/>
      <c r="V242" s="227"/>
      <c r="W242" s="227"/>
      <c r="X242" s="652"/>
      <c r="Y242" s="652"/>
      <c r="Z242" s="652"/>
      <c r="AA242" s="652"/>
      <c r="AB242" s="652"/>
      <c r="AC242" s="652"/>
      <c r="AD242" s="652"/>
      <c r="AE242" s="227"/>
      <c r="AF242" s="227"/>
      <c r="AG242" s="654"/>
      <c r="AH242" s="654"/>
    </row>
    <row r="243" spans="1:34" s="648" customFormat="1" x14ac:dyDescent="0.2">
      <c r="A243" s="647"/>
      <c r="C243" s="207"/>
      <c r="E243" s="649"/>
      <c r="F243" s="650"/>
      <c r="H243" s="222"/>
      <c r="I243" s="223"/>
      <c r="J243" s="222"/>
      <c r="K243" s="651"/>
      <c r="O243" s="224"/>
      <c r="P243" s="225"/>
      <c r="Q243" s="207"/>
      <c r="T243" s="226"/>
      <c r="U243" s="227"/>
      <c r="V243" s="227"/>
      <c r="W243" s="227"/>
      <c r="X243" s="652"/>
      <c r="Y243" s="652"/>
      <c r="Z243" s="652"/>
      <c r="AA243" s="652"/>
      <c r="AB243" s="652"/>
      <c r="AC243" s="652"/>
      <c r="AD243" s="652"/>
      <c r="AE243" s="227"/>
      <c r="AF243" s="227"/>
      <c r="AG243" s="654"/>
      <c r="AH243" s="654"/>
    </row>
    <row r="244" spans="1:34" s="648" customFormat="1" x14ac:dyDescent="0.2">
      <c r="A244" s="647"/>
      <c r="C244" s="207"/>
      <c r="E244" s="649"/>
      <c r="F244" s="650"/>
      <c r="H244" s="222"/>
      <c r="I244" s="223"/>
      <c r="J244" s="222"/>
      <c r="K244" s="651"/>
      <c r="O244" s="224"/>
      <c r="P244" s="225"/>
      <c r="Q244" s="207"/>
      <c r="T244" s="226"/>
      <c r="U244" s="227"/>
      <c r="V244" s="227"/>
      <c r="W244" s="227"/>
      <c r="X244" s="652"/>
      <c r="Y244" s="652"/>
      <c r="Z244" s="652"/>
      <c r="AA244" s="652"/>
      <c r="AB244" s="652"/>
      <c r="AC244" s="652"/>
      <c r="AD244" s="652"/>
      <c r="AE244" s="227"/>
      <c r="AF244" s="227"/>
      <c r="AG244" s="654"/>
      <c r="AH244" s="654"/>
    </row>
    <row r="245" spans="1:34" s="648" customFormat="1" x14ac:dyDescent="0.2">
      <c r="A245" s="647"/>
      <c r="C245" s="207"/>
      <c r="E245" s="649"/>
      <c r="F245" s="650"/>
      <c r="H245" s="222"/>
      <c r="I245" s="223"/>
      <c r="J245" s="222"/>
      <c r="K245" s="651"/>
      <c r="O245" s="224"/>
      <c r="P245" s="225"/>
      <c r="Q245" s="207"/>
      <c r="T245" s="226"/>
      <c r="U245" s="227"/>
      <c r="V245" s="227"/>
      <c r="W245" s="227"/>
      <c r="X245" s="652"/>
      <c r="Y245" s="652"/>
      <c r="Z245" s="652"/>
      <c r="AA245" s="652"/>
      <c r="AB245" s="652"/>
      <c r="AC245" s="652"/>
      <c r="AD245" s="652"/>
      <c r="AE245" s="227"/>
      <c r="AF245" s="227"/>
      <c r="AG245" s="654"/>
      <c r="AH245" s="654"/>
    </row>
    <row r="246" spans="1:34" s="648" customFormat="1" x14ac:dyDescent="0.2">
      <c r="A246" s="647"/>
      <c r="C246" s="207"/>
      <c r="E246" s="649"/>
      <c r="F246" s="650"/>
      <c r="H246" s="222"/>
      <c r="I246" s="223"/>
      <c r="J246" s="222"/>
      <c r="K246" s="651"/>
      <c r="O246" s="224"/>
      <c r="P246" s="225"/>
      <c r="Q246" s="207"/>
      <c r="T246" s="226"/>
      <c r="U246" s="227"/>
      <c r="V246" s="227"/>
      <c r="W246" s="227"/>
      <c r="X246" s="652"/>
      <c r="Y246" s="652"/>
      <c r="Z246" s="652"/>
      <c r="AA246" s="652"/>
      <c r="AB246" s="652"/>
      <c r="AC246" s="652"/>
      <c r="AD246" s="652"/>
      <c r="AE246" s="227"/>
      <c r="AF246" s="227"/>
      <c r="AG246" s="654"/>
      <c r="AH246" s="654"/>
    </row>
    <row r="247" spans="1:34" s="648" customFormat="1" x14ac:dyDescent="0.2">
      <c r="A247" s="647"/>
      <c r="C247" s="207"/>
      <c r="E247" s="649"/>
      <c r="F247" s="650"/>
      <c r="H247" s="222"/>
      <c r="I247" s="223"/>
      <c r="J247" s="222"/>
      <c r="K247" s="651"/>
      <c r="O247" s="224"/>
      <c r="P247" s="225"/>
      <c r="Q247" s="207"/>
      <c r="T247" s="226"/>
      <c r="U247" s="227"/>
      <c r="V247" s="227"/>
      <c r="W247" s="227"/>
      <c r="X247" s="652"/>
      <c r="Y247" s="652"/>
      <c r="Z247" s="652"/>
      <c r="AA247" s="652"/>
      <c r="AB247" s="652"/>
      <c r="AC247" s="652"/>
      <c r="AD247" s="652"/>
      <c r="AE247" s="227"/>
      <c r="AF247" s="227"/>
      <c r="AG247" s="654"/>
      <c r="AH247" s="654"/>
    </row>
    <row r="248" spans="1:34" s="648" customFormat="1" x14ac:dyDescent="0.2">
      <c r="A248" s="647"/>
      <c r="C248" s="207"/>
      <c r="E248" s="649"/>
      <c r="F248" s="650"/>
      <c r="H248" s="222"/>
      <c r="I248" s="223"/>
      <c r="J248" s="222"/>
      <c r="K248" s="651"/>
      <c r="O248" s="224"/>
      <c r="P248" s="225"/>
      <c r="Q248" s="207"/>
      <c r="T248" s="226"/>
      <c r="U248" s="227"/>
      <c r="V248" s="227"/>
      <c r="W248" s="227"/>
      <c r="X248" s="652"/>
      <c r="Y248" s="652"/>
      <c r="Z248" s="652"/>
      <c r="AA248" s="652"/>
      <c r="AB248" s="652"/>
      <c r="AC248" s="652"/>
      <c r="AD248" s="652"/>
      <c r="AE248" s="227"/>
      <c r="AF248" s="227"/>
      <c r="AG248" s="654"/>
      <c r="AH248" s="654"/>
    </row>
    <row r="249" spans="1:34" s="648" customFormat="1" x14ac:dyDescent="0.2">
      <c r="A249" s="647"/>
      <c r="C249" s="207"/>
      <c r="E249" s="649"/>
      <c r="F249" s="650"/>
      <c r="H249" s="222"/>
      <c r="I249" s="223"/>
      <c r="J249" s="222"/>
      <c r="K249" s="651"/>
      <c r="O249" s="224"/>
      <c r="P249" s="225"/>
      <c r="Q249" s="207"/>
      <c r="T249" s="226"/>
      <c r="U249" s="227"/>
      <c r="V249" s="227"/>
      <c r="W249" s="227"/>
      <c r="X249" s="652"/>
      <c r="Y249" s="652"/>
      <c r="Z249" s="652"/>
      <c r="AA249" s="652"/>
      <c r="AB249" s="652"/>
      <c r="AC249" s="652"/>
      <c r="AD249" s="652"/>
      <c r="AE249" s="227"/>
      <c r="AF249" s="227"/>
      <c r="AG249" s="654"/>
      <c r="AH249" s="654"/>
    </row>
    <row r="250" spans="1:34" s="648" customFormat="1" x14ac:dyDescent="0.2">
      <c r="A250" s="647"/>
      <c r="C250" s="207"/>
      <c r="E250" s="649"/>
      <c r="F250" s="650"/>
      <c r="H250" s="222"/>
      <c r="I250" s="223"/>
      <c r="J250" s="222"/>
      <c r="K250" s="651"/>
      <c r="O250" s="224"/>
      <c r="P250" s="225"/>
      <c r="Q250" s="207"/>
      <c r="T250" s="226"/>
      <c r="U250" s="227"/>
      <c r="V250" s="227"/>
      <c r="W250" s="227"/>
      <c r="X250" s="652"/>
      <c r="Y250" s="652"/>
      <c r="Z250" s="652"/>
      <c r="AA250" s="652"/>
      <c r="AB250" s="652"/>
      <c r="AC250" s="652"/>
      <c r="AD250" s="652"/>
      <c r="AE250" s="227"/>
      <c r="AF250" s="227"/>
      <c r="AG250" s="654"/>
      <c r="AH250" s="654"/>
    </row>
    <row r="251" spans="1:34" s="648" customFormat="1" x14ac:dyDescent="0.2">
      <c r="A251" s="647"/>
      <c r="C251" s="207"/>
      <c r="E251" s="649"/>
      <c r="F251" s="650"/>
      <c r="H251" s="222"/>
      <c r="I251" s="223"/>
      <c r="J251" s="222"/>
      <c r="K251" s="651"/>
      <c r="O251" s="224"/>
      <c r="P251" s="225"/>
      <c r="Q251" s="207"/>
      <c r="T251" s="226"/>
      <c r="U251" s="227"/>
      <c r="V251" s="227"/>
      <c r="W251" s="227"/>
      <c r="X251" s="652"/>
      <c r="Y251" s="652"/>
      <c r="Z251" s="652"/>
      <c r="AA251" s="652"/>
      <c r="AB251" s="652"/>
      <c r="AC251" s="652"/>
      <c r="AD251" s="652"/>
      <c r="AE251" s="227"/>
      <c r="AF251" s="227"/>
      <c r="AG251" s="654"/>
      <c r="AH251" s="654"/>
    </row>
    <row r="252" spans="1:34" s="648" customFormat="1" x14ac:dyDescent="0.2">
      <c r="A252" s="647"/>
      <c r="C252" s="207"/>
      <c r="E252" s="649"/>
      <c r="F252" s="650"/>
      <c r="H252" s="222"/>
      <c r="I252" s="223"/>
      <c r="J252" s="222"/>
      <c r="K252" s="651"/>
      <c r="O252" s="224"/>
      <c r="P252" s="225"/>
      <c r="Q252" s="207"/>
      <c r="T252" s="226"/>
      <c r="U252" s="227"/>
      <c r="V252" s="227"/>
      <c r="W252" s="227"/>
      <c r="X252" s="652"/>
      <c r="Y252" s="652"/>
      <c r="Z252" s="652"/>
      <c r="AA252" s="652"/>
      <c r="AB252" s="652"/>
      <c r="AC252" s="652"/>
      <c r="AD252" s="652"/>
      <c r="AE252" s="227"/>
      <c r="AF252" s="227"/>
      <c r="AG252" s="654"/>
      <c r="AH252" s="654"/>
    </row>
  </sheetData>
  <mergeCells count="284">
    <mergeCell ref="A9:B9"/>
    <mergeCell ref="B70:B71"/>
    <mergeCell ref="C70:C71"/>
    <mergeCell ref="D70:D71"/>
    <mergeCell ref="F70:F71"/>
    <mergeCell ref="G70:G71"/>
    <mergeCell ref="B74:B75"/>
    <mergeCell ref="C74:C75"/>
    <mergeCell ref="D74:D75"/>
    <mergeCell ref="F74:F75"/>
    <mergeCell ref="G74:G75"/>
    <mergeCell ref="I74:I75"/>
    <mergeCell ref="I70:I71"/>
    <mergeCell ref="B72:B73"/>
    <mergeCell ref="C72:C73"/>
    <mergeCell ref="D72:D73"/>
    <mergeCell ref="F72:F73"/>
    <mergeCell ref="G72:G73"/>
    <mergeCell ref="I72:I73"/>
    <mergeCell ref="B78:B79"/>
    <mergeCell ref="C78:C79"/>
    <mergeCell ref="D78:D79"/>
    <mergeCell ref="F78:F79"/>
    <mergeCell ref="G78:G79"/>
    <mergeCell ref="I78:I79"/>
    <mergeCell ref="B76:B77"/>
    <mergeCell ref="C76:C77"/>
    <mergeCell ref="D76:D77"/>
    <mergeCell ref="F76:F77"/>
    <mergeCell ref="G76:G77"/>
    <mergeCell ref="I76:I77"/>
    <mergeCell ref="B82:B83"/>
    <mergeCell ref="C82:C83"/>
    <mergeCell ref="D82:D83"/>
    <mergeCell ref="F82:F83"/>
    <mergeCell ref="G82:G83"/>
    <mergeCell ref="I82:I83"/>
    <mergeCell ref="B80:B81"/>
    <mergeCell ref="C80:C81"/>
    <mergeCell ref="D80:D81"/>
    <mergeCell ref="F80:F81"/>
    <mergeCell ref="G80:G81"/>
    <mergeCell ref="I80:I81"/>
    <mergeCell ref="B86:B87"/>
    <mergeCell ref="C86:C87"/>
    <mergeCell ref="D86:D87"/>
    <mergeCell ref="F86:F87"/>
    <mergeCell ref="G86:G87"/>
    <mergeCell ref="I86:I87"/>
    <mergeCell ref="B84:B85"/>
    <mergeCell ref="C84:C85"/>
    <mergeCell ref="D84:D85"/>
    <mergeCell ref="F84:F85"/>
    <mergeCell ref="G84:G85"/>
    <mergeCell ref="I84:I85"/>
    <mergeCell ref="B90:B91"/>
    <mergeCell ref="C90:C91"/>
    <mergeCell ref="D90:D91"/>
    <mergeCell ref="F90:F91"/>
    <mergeCell ref="G90:G91"/>
    <mergeCell ref="I90:I91"/>
    <mergeCell ref="B88:B89"/>
    <mergeCell ref="C88:C89"/>
    <mergeCell ref="D88:D89"/>
    <mergeCell ref="F88:F89"/>
    <mergeCell ref="G88:G89"/>
    <mergeCell ref="I88:I89"/>
    <mergeCell ref="B94:B95"/>
    <mergeCell ref="C94:C95"/>
    <mergeCell ref="D94:D95"/>
    <mergeCell ref="F94:F95"/>
    <mergeCell ref="G94:G95"/>
    <mergeCell ref="I94:I95"/>
    <mergeCell ref="B92:B93"/>
    <mergeCell ref="C92:C93"/>
    <mergeCell ref="D92:D93"/>
    <mergeCell ref="F92:F93"/>
    <mergeCell ref="G92:G93"/>
    <mergeCell ref="I92:I93"/>
    <mergeCell ref="B98:B99"/>
    <mergeCell ref="C98:C99"/>
    <mergeCell ref="D98:D99"/>
    <mergeCell ref="F98:F99"/>
    <mergeCell ref="G98:G99"/>
    <mergeCell ref="I98:I99"/>
    <mergeCell ref="B96:B97"/>
    <mergeCell ref="C96:C97"/>
    <mergeCell ref="D96:D97"/>
    <mergeCell ref="F96:F97"/>
    <mergeCell ref="G96:G97"/>
    <mergeCell ref="I96:I97"/>
    <mergeCell ref="B102:B103"/>
    <mergeCell ref="C102:C103"/>
    <mergeCell ref="D102:D103"/>
    <mergeCell ref="F102:F103"/>
    <mergeCell ref="G102:G103"/>
    <mergeCell ref="I102:I103"/>
    <mergeCell ref="B100:B101"/>
    <mergeCell ref="C100:C101"/>
    <mergeCell ref="D100:D101"/>
    <mergeCell ref="F100:F101"/>
    <mergeCell ref="G100:G101"/>
    <mergeCell ref="I100:I101"/>
    <mergeCell ref="B106:B107"/>
    <mergeCell ref="C106:C107"/>
    <mergeCell ref="D106:D107"/>
    <mergeCell ref="F106:F107"/>
    <mergeCell ref="G106:G107"/>
    <mergeCell ref="I106:I107"/>
    <mergeCell ref="B104:B105"/>
    <mergeCell ref="C104:C105"/>
    <mergeCell ref="D104:D105"/>
    <mergeCell ref="F104:F105"/>
    <mergeCell ref="G104:G105"/>
    <mergeCell ref="I104:I105"/>
    <mergeCell ref="B110:B111"/>
    <mergeCell ref="C110:C111"/>
    <mergeCell ref="D110:D111"/>
    <mergeCell ref="F110:F111"/>
    <mergeCell ref="G110:G111"/>
    <mergeCell ref="I110:I111"/>
    <mergeCell ref="B108:B109"/>
    <mergeCell ref="C108:C109"/>
    <mergeCell ref="D108:D109"/>
    <mergeCell ref="F108:F109"/>
    <mergeCell ref="G108:G109"/>
    <mergeCell ref="I108:I109"/>
    <mergeCell ref="B114:B115"/>
    <mergeCell ref="C114:C115"/>
    <mergeCell ref="D114:D115"/>
    <mergeCell ref="F114:F115"/>
    <mergeCell ref="G114:G115"/>
    <mergeCell ref="I114:I115"/>
    <mergeCell ref="B112:B113"/>
    <mergeCell ref="C112:C113"/>
    <mergeCell ref="D112:D113"/>
    <mergeCell ref="F112:F113"/>
    <mergeCell ref="G112:G113"/>
    <mergeCell ref="I112:I113"/>
    <mergeCell ref="B118:B119"/>
    <mergeCell ref="C118:C119"/>
    <mergeCell ref="D118:D119"/>
    <mergeCell ref="F118:F119"/>
    <mergeCell ref="G118:G119"/>
    <mergeCell ref="I118:I119"/>
    <mergeCell ref="B116:B117"/>
    <mergeCell ref="C116:C117"/>
    <mergeCell ref="D116:D117"/>
    <mergeCell ref="F116:F117"/>
    <mergeCell ref="G116:G117"/>
    <mergeCell ref="I116:I117"/>
    <mergeCell ref="B122:B123"/>
    <mergeCell ref="C122:C123"/>
    <mergeCell ref="D122:D123"/>
    <mergeCell ref="F122:F123"/>
    <mergeCell ref="G122:G123"/>
    <mergeCell ref="I122:I123"/>
    <mergeCell ref="B120:B121"/>
    <mergeCell ref="C120:C121"/>
    <mergeCell ref="D120:D121"/>
    <mergeCell ref="F120:F121"/>
    <mergeCell ref="G120:G121"/>
    <mergeCell ref="I120:I121"/>
    <mergeCell ref="B126:B127"/>
    <mergeCell ref="C126:C127"/>
    <mergeCell ref="D126:D127"/>
    <mergeCell ref="F126:F127"/>
    <mergeCell ref="G126:G127"/>
    <mergeCell ref="I126:I127"/>
    <mergeCell ref="B124:B125"/>
    <mergeCell ref="C124:C125"/>
    <mergeCell ref="D124:D125"/>
    <mergeCell ref="F124:F125"/>
    <mergeCell ref="G124:G125"/>
    <mergeCell ref="I124:I125"/>
    <mergeCell ref="B130:B131"/>
    <mergeCell ref="C130:C131"/>
    <mergeCell ref="D130:D131"/>
    <mergeCell ref="F130:F131"/>
    <mergeCell ref="G130:G131"/>
    <mergeCell ref="I130:I131"/>
    <mergeCell ref="B128:B129"/>
    <mergeCell ref="C128:C129"/>
    <mergeCell ref="D128:D129"/>
    <mergeCell ref="F128:F129"/>
    <mergeCell ref="G128:G129"/>
    <mergeCell ref="I128:I129"/>
    <mergeCell ref="B134:B135"/>
    <mergeCell ref="C134:C135"/>
    <mergeCell ref="D134:D135"/>
    <mergeCell ref="F134:F135"/>
    <mergeCell ref="G134:G135"/>
    <mergeCell ref="I134:I135"/>
    <mergeCell ref="B132:B133"/>
    <mergeCell ref="C132:C133"/>
    <mergeCell ref="D132:D133"/>
    <mergeCell ref="F132:F133"/>
    <mergeCell ref="G132:G133"/>
    <mergeCell ref="I132:I133"/>
    <mergeCell ref="B138:B139"/>
    <mergeCell ref="C138:C139"/>
    <mergeCell ref="D138:D139"/>
    <mergeCell ref="F138:F139"/>
    <mergeCell ref="G138:G139"/>
    <mergeCell ref="I138:I139"/>
    <mergeCell ref="B136:B137"/>
    <mergeCell ref="C136:C137"/>
    <mergeCell ref="D136:D137"/>
    <mergeCell ref="F136:F137"/>
    <mergeCell ref="G136:G137"/>
    <mergeCell ref="I136:I137"/>
    <mergeCell ref="B142:B143"/>
    <mergeCell ref="C142:C143"/>
    <mergeCell ref="D142:D143"/>
    <mergeCell ref="F142:F143"/>
    <mergeCell ref="G142:G143"/>
    <mergeCell ref="I142:I143"/>
    <mergeCell ref="B140:B141"/>
    <mergeCell ref="C140:C141"/>
    <mergeCell ref="D140:D141"/>
    <mergeCell ref="F140:F141"/>
    <mergeCell ref="G140:G141"/>
    <mergeCell ref="I140:I141"/>
    <mergeCell ref="B146:B147"/>
    <mergeCell ref="C146:C147"/>
    <mergeCell ref="D146:D147"/>
    <mergeCell ref="F146:F147"/>
    <mergeCell ref="G146:G147"/>
    <mergeCell ref="I146:I147"/>
    <mergeCell ref="B144:B145"/>
    <mergeCell ref="C144:C145"/>
    <mergeCell ref="D144:D145"/>
    <mergeCell ref="F144:F145"/>
    <mergeCell ref="G144:G145"/>
    <mergeCell ref="I144:I145"/>
    <mergeCell ref="B150:B151"/>
    <mergeCell ref="C150:C151"/>
    <mergeCell ref="D150:D151"/>
    <mergeCell ref="F150:F151"/>
    <mergeCell ref="G150:G151"/>
    <mergeCell ref="I150:I151"/>
    <mergeCell ref="B148:B149"/>
    <mergeCell ref="C148:C149"/>
    <mergeCell ref="D148:D149"/>
    <mergeCell ref="F148:F149"/>
    <mergeCell ref="G148:G149"/>
    <mergeCell ref="I148:I149"/>
    <mergeCell ref="B154:B155"/>
    <mergeCell ref="C154:C155"/>
    <mergeCell ref="D154:D155"/>
    <mergeCell ref="F154:F155"/>
    <mergeCell ref="G154:G155"/>
    <mergeCell ref="I154:I155"/>
    <mergeCell ref="B152:B153"/>
    <mergeCell ref="C152:C153"/>
    <mergeCell ref="D152:D153"/>
    <mergeCell ref="F152:F153"/>
    <mergeCell ref="G152:G153"/>
    <mergeCell ref="I152:I153"/>
    <mergeCell ref="B158:B159"/>
    <mergeCell ref="C158:C159"/>
    <mergeCell ref="D158:D159"/>
    <mergeCell ref="F158:F159"/>
    <mergeCell ref="G158:G159"/>
    <mergeCell ref="I158:I159"/>
    <mergeCell ref="B156:B157"/>
    <mergeCell ref="C156:C157"/>
    <mergeCell ref="D156:D157"/>
    <mergeCell ref="F156:F157"/>
    <mergeCell ref="G156:G157"/>
    <mergeCell ref="I156:I157"/>
    <mergeCell ref="A180:B180"/>
    <mergeCell ref="B162:B163"/>
    <mergeCell ref="C162:C163"/>
    <mergeCell ref="D162:D163"/>
    <mergeCell ref="F162:F163"/>
    <mergeCell ref="G162:G163"/>
    <mergeCell ref="I162:I163"/>
    <mergeCell ref="B160:B161"/>
    <mergeCell ref="C160:C161"/>
    <mergeCell ref="D160:D161"/>
    <mergeCell ref="F160:F161"/>
    <mergeCell ref="G160:G161"/>
    <mergeCell ref="I160:I161"/>
  </mergeCells>
  <pageMargins left="0.23622047244094491" right="0.23622047244094491" top="0.74803149606299213" bottom="0.74803149606299213" header="0.31496062992125984" footer="0.31496062992125984"/>
  <pageSetup paperSize="9" scale="85" fitToHeight="0" orientation="landscape" r:id="rId1"/>
  <headerFooter alignWithMargins="0"/>
  <rowBreaks count="1" manualBreakCount="1">
    <brk id="37" max="10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2023.gada budzeta plans_apvieno</vt:lpstr>
      <vt:lpstr>4.piel_Saistibas</vt:lpstr>
      <vt:lpstr>'2023.gada budzeta plans_apvieno'!Print_Area</vt:lpstr>
      <vt:lpstr>'4.piel_Saistibas'!Print_Area</vt:lpstr>
      <vt:lpstr>'2023.gada budzeta plans_apvieno'!Print_Titles</vt:lpstr>
      <vt:lpstr>'4.piel_Saistibas'!Print_Titles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dcterms:created xsi:type="dcterms:W3CDTF">2023-06-15T13:41:30Z</dcterms:created>
  <dcterms:modified xsi:type="dcterms:W3CDTF">2023-06-21T14:50:42Z</dcterms:modified>
</cp:coreProperties>
</file>